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Ho\Documents\1 - LDC\North Bay\NBH COS 2021\Models\"/>
    </mc:Choice>
  </mc:AlternateContent>
  <bookViews>
    <workbookView xWindow="28680" yWindow="-120" windowWidth="29040" windowHeight="15840"/>
  </bookViews>
  <sheets>
    <sheet name="Exhibit 3 Tables" sheetId="22" r:id="rId1"/>
    <sheet name="Summary" sheetId="11" r:id="rId2"/>
    <sheet name="Purchased Power Model" sheetId="7" r:id="rId3"/>
    <sheet name="Weather Normalized Historical" sheetId="25" r:id="rId4"/>
    <sheet name="Rate Class Energy Model" sheetId="9" r:id="rId5"/>
    <sheet name="Rate Class Customer Model" sheetId="17" r:id="rId6"/>
    <sheet name="Rate Class Load Model" sheetId="18" r:id="rId7"/>
    <sheet name="Weather Normal Values" sheetId="21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_CAP1000">#REF!</definedName>
    <definedName name="__OP1000">#REF!</definedName>
    <definedName name="_110">#REF!</definedName>
    <definedName name="_110INPT">#REF!</definedName>
    <definedName name="_115">#REF!</definedName>
    <definedName name="_115INPT">#REF!</definedName>
    <definedName name="_120">#REF!</definedName>
    <definedName name="_140">#REF!</definedName>
    <definedName name="_140INPT">#REF!</definedName>
    <definedName name="_CAP1000">#REF!</definedName>
    <definedName name="_Fill" hidden="1">'[1]Old MEA Statistics'!$B$250</definedName>
    <definedName name="_OP1000">#REF!</definedName>
    <definedName name="_Order1" hidden="1">255</definedName>
    <definedName name="_Order2" hidden="1">0</definedName>
    <definedName name="_Sort" localSheetId="0" hidden="1">[2]Sheet1!$G$40:$K$40</definedName>
    <definedName name="_Sort" hidden="1">[3]Sheet1!$G$40:$K$40</definedName>
    <definedName name="ALL">#REF!</definedName>
    <definedName name="ApprovedYr">'[4]Z1.ModelVariables'!$C$12</definedName>
    <definedName name="CAPCOSTS">#REF!</definedName>
    <definedName name="CAPITAL">#REF!</definedName>
    <definedName name="CapitalExpListing">#REF!</definedName>
    <definedName name="CASHFLOW">#REF!</definedName>
    <definedName name="cc">#REF!</definedName>
    <definedName name="contactf">#REF!</definedName>
    <definedName name="_xlnm.Criteria">#REF!</definedName>
    <definedName name="CRLF">'[4]Z1.ModelVariables'!$C$10</definedName>
    <definedName name="_xlnm.Database">#REF!</definedName>
    <definedName name="DaysInPreviousYear" localSheetId="0">'[5]Distribution Revenue by Source'!$B$22</definedName>
    <definedName name="DaysInPreviousYear">'[6]Distribution Revenue by Source'!$B$22</definedName>
    <definedName name="DaysInYear" localSheetId="0">'[5]Distribution Revenue by Source'!$B$21</definedName>
    <definedName name="DaysInYear">'[6]Distribution Revenue by Source'!$B$21</definedName>
    <definedName name="DEBTREPAY">#REF!</definedName>
    <definedName name="DeptDiv">#REF!</definedName>
    <definedName name="ExpenseAccountListing">#REF!</definedName>
    <definedName name="_xlnm.Extract">#REF!</definedName>
    <definedName name="FakeBlank">'[4]Z1.ModelVariables'!$C$14</definedName>
    <definedName name="histdate">[7]Financials!$E$76</definedName>
    <definedName name="Incr2000">#REF!</definedName>
    <definedName name="INTERIM">#REF!</definedName>
    <definedName name="LIMIT">#REF!</definedName>
    <definedName name="man_beg_bud">#REF!</definedName>
    <definedName name="man_end_bud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END">#REF!</definedName>
    <definedName name="manNYbud">#REF!</definedName>
    <definedName name="manpower_costs">#REF!</definedName>
    <definedName name="manPYACT">#REF!</definedName>
    <definedName name="MANSTART">#REF!</definedName>
    <definedName name="mat_beg_bud">#REF!</definedName>
    <definedName name="mat_end_bud">#REF!</definedName>
    <definedName name="mat12ACT">#REF!</definedName>
    <definedName name="MATBUD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mea">#REF!</definedName>
    <definedName name="MEABAL">#REF!</definedName>
    <definedName name="MEACASH">#REF!</definedName>
    <definedName name="MEAEQITY">#REF!</definedName>
    <definedName name="MEAOP">#REF!</definedName>
    <definedName name="MofF">#REF!</definedName>
    <definedName name="NOTES">#REF!</definedName>
    <definedName name="OPERATING">#REF!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NYbud">#REF!</definedName>
    <definedName name="othPYACT">#REF!</definedName>
    <definedName name="OTHSTART">#REF!</definedName>
    <definedName name="PAGE11" localSheetId="0">#REF!</definedName>
    <definedName name="PAGE11">#REF!</definedName>
    <definedName name="PAGE2" localSheetId="0">[2]Sheet1!$A$1:$I$40</definedName>
    <definedName name="PAGE2">[3]Sheet1!$A$1:$I$40</definedName>
    <definedName name="PAGE3" localSheetId="0">#REF!</definedName>
    <definedName name="PAGE3">#REF!</definedName>
    <definedName name="PAGE4" localSheetId="0">#REF!</definedName>
    <definedName name="PAGE4">#REF!</definedName>
    <definedName name="PAGE7" localSheetId="0">#REF!</definedName>
    <definedName name="PAGE7">#REF!</definedName>
    <definedName name="PAGE9" localSheetId="0">#REF!</definedName>
    <definedName name="PAGE9">#REF!</definedName>
    <definedName name="PageOne" localSheetId="0">#REF!</definedName>
    <definedName name="PageOne">#REF!</definedName>
    <definedName name="PR">#REF!</definedName>
    <definedName name="_xlnm.Print_Area" localSheetId="0">'Exhibit 3 Tables'!$A$2:$L$279</definedName>
    <definedName name="_xlnm.Print_Area" localSheetId="2">'Purchased Power Model'!#REF!</definedName>
    <definedName name="_xlnm.Print_Area" localSheetId="5">'Rate Class Customer Model'!$A$1:$I$62</definedName>
    <definedName name="_xlnm.Print_Area" localSheetId="4">'Rate Class Energy Model'!$A$1:$S$89</definedName>
    <definedName name="_xlnm.Print_Area" localSheetId="6">'Rate Class Load Model'!$A$1:$H$45</definedName>
    <definedName name="_xlnm.Print_Area" localSheetId="1">Summary!$A$1:$N$66</definedName>
    <definedName name="Print_Area_MI">#REF!</definedName>
    <definedName name="print_end">#REF!</definedName>
    <definedName name="_xlnm.Print_Titles" localSheetId="0">'Exhibit 3 Tables'!#REF!</definedName>
    <definedName name="PRIOR">#REF!</definedName>
    <definedName name="Ratebase" localSheetId="0">'[5]Distribution Revenue by Source'!$C$25</definedName>
    <definedName name="Ratebase">'[6]Distribution Revenue by Source'!$C$25</definedName>
    <definedName name="RVCASHPR">#REF!</definedName>
    <definedName name="SALBENF">#REF!</definedName>
    <definedName name="salreg">#REF!</definedName>
    <definedName name="SALREGF">#REF!</definedName>
    <definedName name="SOURCEAPP">#REF!</definedName>
    <definedName name="STATS1">#REF!</definedName>
    <definedName name="STATS2">#REF!</definedName>
    <definedName name="Surtax">#REF!</definedName>
    <definedName name="TEMPA">#REF!</definedName>
    <definedName name="TestYr">'[4]A1.Admin'!$C$13</definedName>
    <definedName name="TestYrPL" localSheetId="0">'[8]Revenue Requirement'!$B$10</definedName>
    <definedName name="TestYrPL">'[9]Revenue Requirement'!$B$10</definedName>
    <definedName name="total_dept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OTCAPADDITIONS">#REF!</definedName>
    <definedName name="TRANBUD">#REF!</definedName>
    <definedName name="TRANEND">#REF!</definedName>
    <definedName name="TRANSCAP">#REF!</definedName>
    <definedName name="TRANSFER">#REF!</definedName>
    <definedName name="transportation_costs">#REF!</definedName>
    <definedName name="TRANSTART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Utility">[7]Financials!$A$1</definedName>
    <definedName name="utitliy1">[10]Financials!$A$1</definedName>
    <definedName name="WAGBENF">#REF!</definedName>
    <definedName name="wagdob">#REF!</definedName>
    <definedName name="wagdobf">#REF!</definedName>
    <definedName name="wagreg">#REF!</definedName>
    <definedName name="wagregf">#REF!</definedName>
  </definedNames>
  <calcPr calcId="181029" iterate="1"/>
</workbook>
</file>

<file path=xl/calcChain.xml><?xml version="1.0" encoding="utf-8"?>
<calcChain xmlns="http://schemas.openxmlformats.org/spreadsheetml/2006/main">
  <c r="V213" i="22" l="1"/>
  <c r="U213" i="22"/>
  <c r="T213" i="22"/>
  <c r="S213" i="22"/>
  <c r="R213" i="22"/>
  <c r="Q213" i="22"/>
  <c r="P213" i="22"/>
  <c r="H164" i="7" l="1"/>
  <c r="H189" i="7"/>
  <c r="F491" i="22" l="1"/>
  <c r="K491" i="22" s="1"/>
  <c r="E491" i="22"/>
  <c r="H491" i="22" s="1"/>
  <c r="I491" i="22" l="1"/>
  <c r="J491" i="22"/>
  <c r="B400" i="22"/>
  <c r="B402" i="22"/>
  <c r="B388" i="22"/>
  <c r="B375" i="22"/>
  <c r="B376" i="22"/>
  <c r="B377" i="22"/>
  <c r="E369" i="22"/>
  <c r="B360" i="22"/>
  <c r="B361" i="22"/>
  <c r="B362" i="22"/>
  <c r="E354" i="22"/>
  <c r="E339" i="22"/>
  <c r="F510" i="22" s="1"/>
  <c r="B345" i="22"/>
  <c r="B346" i="22"/>
  <c r="B347" i="22"/>
  <c r="B344" i="22"/>
  <c r="B332" i="22"/>
  <c r="B330" i="22"/>
  <c r="E323" i="22"/>
  <c r="B316" i="22"/>
  <c r="B315" i="22"/>
  <c r="R300" i="22"/>
  <c r="B305" i="22"/>
  <c r="E396" i="22" l="1"/>
  <c r="K71" i="25" l="1"/>
  <c r="K72" i="25"/>
  <c r="K73" i="25"/>
  <c r="K74" i="25"/>
  <c r="K70" i="25"/>
  <c r="G74" i="25"/>
  <c r="G73" i="25"/>
  <c r="G72" i="25"/>
  <c r="G71" i="25"/>
  <c r="G7" i="25"/>
  <c r="H7" i="25" s="1"/>
  <c r="I7" i="25" s="1"/>
  <c r="G8" i="25"/>
  <c r="H8" i="25" s="1"/>
  <c r="I8" i="25" s="1"/>
  <c r="G11" i="25"/>
  <c r="H11" i="25" s="1"/>
  <c r="I11" i="25" s="1"/>
  <c r="G12" i="25"/>
  <c r="H12" i="25" s="1"/>
  <c r="I12" i="25" s="1"/>
  <c r="G15" i="25"/>
  <c r="H15" i="25" s="1"/>
  <c r="I15" i="25" s="1"/>
  <c r="G16" i="25"/>
  <c r="H16" i="25" s="1"/>
  <c r="I16" i="25" s="1"/>
  <c r="G14" i="25"/>
  <c r="G10" i="25"/>
  <c r="G6" i="25"/>
  <c r="H6" i="25" s="1"/>
  <c r="I6" i="25" s="1"/>
  <c r="G9" i="25"/>
  <c r="H9" i="25" s="1"/>
  <c r="I9" i="25" s="1"/>
  <c r="G13" i="25"/>
  <c r="H13" i="25" s="1"/>
  <c r="I13" i="25" s="1"/>
  <c r="G17" i="25"/>
  <c r="H17" i="25" s="1"/>
  <c r="I17" i="25" s="1"/>
  <c r="G18" i="25"/>
  <c r="H18" i="25" s="1"/>
  <c r="I18" i="25" s="1"/>
  <c r="G19" i="25"/>
  <c r="G20" i="25"/>
  <c r="H20" i="25" s="1"/>
  <c r="I20" i="25" s="1"/>
  <c r="G21" i="25"/>
  <c r="H21" i="25" s="1"/>
  <c r="I21" i="25" s="1"/>
  <c r="G22" i="25"/>
  <c r="H22" i="25" s="1"/>
  <c r="I22" i="25" s="1"/>
  <c r="G23" i="25"/>
  <c r="H23" i="25" s="1"/>
  <c r="I23" i="25" s="1"/>
  <c r="G24" i="25"/>
  <c r="G25" i="25"/>
  <c r="H25" i="25" s="1"/>
  <c r="I25" i="25" s="1"/>
  <c r="G26" i="25"/>
  <c r="G27" i="25"/>
  <c r="G28" i="25"/>
  <c r="H28" i="25" s="1"/>
  <c r="I28" i="25" s="1"/>
  <c r="G29" i="25"/>
  <c r="H29" i="25" s="1"/>
  <c r="I29" i="25" s="1"/>
  <c r="G30" i="25"/>
  <c r="G31" i="25"/>
  <c r="G32" i="25"/>
  <c r="H32" i="25" s="1"/>
  <c r="I32" i="25" s="1"/>
  <c r="G33" i="25"/>
  <c r="H33" i="25" s="1"/>
  <c r="I33" i="25" s="1"/>
  <c r="G34" i="25"/>
  <c r="G35" i="25"/>
  <c r="H35" i="25" s="1"/>
  <c r="I35" i="25" s="1"/>
  <c r="G36" i="25"/>
  <c r="G37" i="25"/>
  <c r="H37" i="25" s="1"/>
  <c r="I37" i="25" s="1"/>
  <c r="G38" i="25"/>
  <c r="H38" i="25" s="1"/>
  <c r="I38" i="25" s="1"/>
  <c r="G39" i="25"/>
  <c r="G40" i="25"/>
  <c r="G41" i="25"/>
  <c r="H41" i="25" s="1"/>
  <c r="I41" i="25" s="1"/>
  <c r="G42" i="25"/>
  <c r="H42" i="25" s="1"/>
  <c r="I42" i="25" s="1"/>
  <c r="G43" i="25"/>
  <c r="H43" i="25" s="1"/>
  <c r="I43" i="25" s="1"/>
  <c r="G44" i="25"/>
  <c r="H44" i="25" s="1"/>
  <c r="I44" i="25" s="1"/>
  <c r="G45" i="25"/>
  <c r="G46" i="25"/>
  <c r="H46" i="25" s="1"/>
  <c r="I46" i="25" s="1"/>
  <c r="G47" i="25"/>
  <c r="G48" i="25"/>
  <c r="G49" i="25"/>
  <c r="H49" i="25" s="1"/>
  <c r="I49" i="25" s="1"/>
  <c r="G50" i="25"/>
  <c r="H50" i="25" s="1"/>
  <c r="I50" i="25" s="1"/>
  <c r="G51" i="25"/>
  <c r="G52" i="25"/>
  <c r="H52" i="25" s="1"/>
  <c r="I52" i="25" s="1"/>
  <c r="G53" i="25"/>
  <c r="H53" i="25" s="1"/>
  <c r="I53" i="25" s="1"/>
  <c r="G54" i="25"/>
  <c r="G55" i="25"/>
  <c r="G56" i="25"/>
  <c r="H56" i="25" s="1"/>
  <c r="I56" i="25" s="1"/>
  <c r="G57" i="25"/>
  <c r="H57" i="25" s="1"/>
  <c r="I57" i="25" s="1"/>
  <c r="G58" i="25"/>
  <c r="G59" i="25"/>
  <c r="G60" i="25"/>
  <c r="H60" i="25" s="1"/>
  <c r="I60" i="25" s="1"/>
  <c r="G61" i="25"/>
  <c r="H61" i="25" s="1"/>
  <c r="I61" i="25" s="1"/>
  <c r="G62" i="25"/>
  <c r="G63" i="25"/>
  <c r="H63" i="25" s="1"/>
  <c r="I63" i="25" s="1"/>
  <c r="G64" i="25"/>
  <c r="H64" i="25" s="1"/>
  <c r="I64" i="25" s="1"/>
  <c r="G5" i="25"/>
  <c r="H58" i="25"/>
  <c r="I58" i="25" s="1"/>
  <c r="H48" i="25"/>
  <c r="I48" i="25" s="1"/>
  <c r="H40" i="25"/>
  <c r="I40" i="25" s="1"/>
  <c r="H36" i="25"/>
  <c r="I36" i="25" s="1"/>
  <c r="H26" i="25"/>
  <c r="I26" i="25" s="1"/>
  <c r="H24" i="25"/>
  <c r="I24" i="25" s="1"/>
  <c r="G70" i="25" l="1"/>
  <c r="H27" i="25"/>
  <c r="I27" i="25" s="1"/>
  <c r="H10" i="25"/>
  <c r="I10" i="25" s="1"/>
  <c r="H14" i="25"/>
  <c r="I14" i="25" s="1"/>
  <c r="H19" i="25"/>
  <c r="I19" i="25" s="1"/>
  <c r="H34" i="25"/>
  <c r="I34" i="25" s="1"/>
  <c r="H51" i="25"/>
  <c r="I51" i="25" s="1"/>
  <c r="H62" i="25"/>
  <c r="I62" i="25" s="1"/>
  <c r="H47" i="25"/>
  <c r="I47" i="25" s="1"/>
  <c r="H31" i="25"/>
  <c r="I31" i="25" s="1"/>
  <c r="H39" i="25"/>
  <c r="I39" i="25" s="1"/>
  <c r="H54" i="25"/>
  <c r="I54" i="25" s="1"/>
  <c r="H30" i="25"/>
  <c r="I30" i="25" s="1"/>
  <c r="H59" i="25"/>
  <c r="I59" i="25" s="1"/>
  <c r="H45" i="25"/>
  <c r="I45" i="25" s="1"/>
  <c r="H55" i="25"/>
  <c r="I55" i="25" s="1"/>
  <c r="H5" i="25"/>
  <c r="I5" i="25" l="1"/>
  <c r="I65" i="25" s="1"/>
  <c r="H65" i="25"/>
  <c r="R412" i="22" l="1"/>
  <c r="E365" i="22" l="1"/>
  <c r="E335" i="22"/>
  <c r="E350" i="22"/>
  <c r="E340" i="22" l="1"/>
  <c r="E341" i="22"/>
  <c r="E370" i="22"/>
  <c r="F512" i="22" s="1"/>
  <c r="E371" i="22"/>
  <c r="E355" i="22"/>
  <c r="F511" i="22" s="1"/>
  <c r="E356" i="22"/>
  <c r="J45" i="9"/>
  <c r="L44" i="9" l="1"/>
  <c r="M44" i="9"/>
  <c r="N44" i="9"/>
  <c r="B28" i="22" l="1"/>
  <c r="B64" i="22" s="1"/>
  <c r="E28" i="22"/>
  <c r="F28" i="22"/>
  <c r="G28" i="22"/>
  <c r="H28" i="22"/>
  <c r="I28" i="22"/>
  <c r="J28" i="22"/>
  <c r="K28" i="22"/>
  <c r="B29" i="22"/>
  <c r="B65" i="22" s="1"/>
  <c r="B82" i="22" s="1"/>
  <c r="E29" i="22"/>
  <c r="F29" i="22"/>
  <c r="G29" i="22"/>
  <c r="H29" i="22"/>
  <c r="I29" i="22"/>
  <c r="J29" i="22"/>
  <c r="K29" i="22"/>
  <c r="B30" i="22"/>
  <c r="B47" i="22" s="1"/>
  <c r="E30" i="22"/>
  <c r="F30" i="22"/>
  <c r="G30" i="22"/>
  <c r="H30" i="22"/>
  <c r="I30" i="22"/>
  <c r="J30" i="22"/>
  <c r="K30" i="22"/>
  <c r="B31" i="22"/>
  <c r="B67" i="22" s="1"/>
  <c r="B84" i="22" s="1"/>
  <c r="E31" i="22"/>
  <c r="F31" i="22"/>
  <c r="G31" i="22"/>
  <c r="H31" i="22"/>
  <c r="I31" i="22"/>
  <c r="J31" i="22"/>
  <c r="K31" i="22"/>
  <c r="B32" i="22"/>
  <c r="B68" i="22" s="1"/>
  <c r="E32" i="22"/>
  <c r="F32" i="22"/>
  <c r="G32" i="22"/>
  <c r="H32" i="22"/>
  <c r="I32" i="22"/>
  <c r="J32" i="22"/>
  <c r="K32" i="22"/>
  <c r="E45" i="22"/>
  <c r="F45" i="22"/>
  <c r="G45" i="22"/>
  <c r="H45" i="22"/>
  <c r="I45" i="22"/>
  <c r="J45" i="22"/>
  <c r="K45" i="22"/>
  <c r="E46" i="22"/>
  <c r="F46" i="22"/>
  <c r="G46" i="22"/>
  <c r="H46" i="22"/>
  <c r="I46" i="22"/>
  <c r="J46" i="22"/>
  <c r="K46" i="22"/>
  <c r="E47" i="22"/>
  <c r="F47" i="22"/>
  <c r="G47" i="22"/>
  <c r="H47" i="22"/>
  <c r="I47" i="22"/>
  <c r="J47" i="22"/>
  <c r="K47" i="22"/>
  <c r="E48" i="22"/>
  <c r="F48" i="22"/>
  <c r="G48" i="22"/>
  <c r="H48" i="22"/>
  <c r="I48" i="22"/>
  <c r="J48" i="22"/>
  <c r="K48" i="22"/>
  <c r="E49" i="22"/>
  <c r="F49" i="22"/>
  <c r="G49" i="22"/>
  <c r="H49" i="22"/>
  <c r="I49" i="22"/>
  <c r="J49" i="22"/>
  <c r="K49" i="22"/>
  <c r="K478" i="22"/>
  <c r="I478" i="22"/>
  <c r="E478" i="22"/>
  <c r="J478" i="22" s="1"/>
  <c r="K466" i="22"/>
  <c r="I466" i="22"/>
  <c r="E466" i="22"/>
  <c r="J466" i="22" s="1"/>
  <c r="K454" i="22"/>
  <c r="I454" i="22"/>
  <c r="E454" i="22"/>
  <c r="H454" i="22" s="1"/>
  <c r="K442" i="22"/>
  <c r="I442" i="22"/>
  <c r="E442" i="22"/>
  <c r="J442" i="22" s="1"/>
  <c r="K430" i="22"/>
  <c r="I430" i="22"/>
  <c r="E430" i="22"/>
  <c r="K418" i="22"/>
  <c r="I418" i="22"/>
  <c r="E418" i="22"/>
  <c r="J418" i="22" s="1"/>
  <c r="J412" i="22"/>
  <c r="J497" i="22" s="1"/>
  <c r="E412" i="22"/>
  <c r="E497" i="22" s="1"/>
  <c r="J411" i="22"/>
  <c r="J496" i="22" s="1"/>
  <c r="J410" i="22"/>
  <c r="J495" i="22" s="1"/>
  <c r="E410" i="22"/>
  <c r="E495" i="22" s="1"/>
  <c r="J409" i="22"/>
  <c r="J494" i="22" s="1"/>
  <c r="K406" i="22"/>
  <c r="J406" i="22"/>
  <c r="I406" i="22"/>
  <c r="H406" i="22"/>
  <c r="B401" i="22"/>
  <c r="B399" i="22"/>
  <c r="B398" i="22"/>
  <c r="E395" i="22"/>
  <c r="B387" i="22"/>
  <c r="B386" i="22"/>
  <c r="E381" i="22"/>
  <c r="E380" i="22"/>
  <c r="E413" i="22" s="1"/>
  <c r="E498" i="22" s="1"/>
  <c r="B374" i="22"/>
  <c r="B373" i="22"/>
  <c r="E366" i="22"/>
  <c r="E367" i="22" s="1"/>
  <c r="B359" i="22"/>
  <c r="B358" i="22"/>
  <c r="E351" i="22"/>
  <c r="E352" i="22" s="1"/>
  <c r="B343" i="22"/>
  <c r="E336" i="22"/>
  <c r="E337" i="22" s="1"/>
  <c r="B331" i="22"/>
  <c r="B329" i="22"/>
  <c r="B328" i="22"/>
  <c r="E320" i="22"/>
  <c r="E321" i="22" s="1"/>
  <c r="E319" i="22"/>
  <c r="B314" i="22"/>
  <c r="E309" i="22"/>
  <c r="E308" i="22"/>
  <c r="E408" i="22" s="1"/>
  <c r="E493" i="22" s="1"/>
  <c r="B304" i="22"/>
  <c r="B303" i="22"/>
  <c r="E298" i="22"/>
  <c r="E297" i="22"/>
  <c r="E407" i="22" s="1"/>
  <c r="E492" i="22" s="1"/>
  <c r="J295" i="22"/>
  <c r="I295" i="22"/>
  <c r="H295" i="22"/>
  <c r="G295" i="22"/>
  <c r="F295" i="22"/>
  <c r="E295" i="22"/>
  <c r="L282" i="22"/>
  <c r="L295" i="22" s="1"/>
  <c r="K282" i="22"/>
  <c r="K295" i="22" s="1"/>
  <c r="H258" i="22"/>
  <c r="G258" i="22"/>
  <c r="F258" i="22"/>
  <c r="E258" i="22"/>
  <c r="H257" i="22"/>
  <c r="G257" i="22"/>
  <c r="F257" i="22"/>
  <c r="E257" i="22"/>
  <c r="H256" i="22"/>
  <c r="G256" i="22"/>
  <c r="F256" i="22"/>
  <c r="E256" i="22"/>
  <c r="H255" i="22"/>
  <c r="G255" i="22"/>
  <c r="F255" i="22"/>
  <c r="E255" i="22"/>
  <c r="H254" i="22"/>
  <c r="G254" i="22"/>
  <c r="F254" i="22"/>
  <c r="E254" i="22"/>
  <c r="H253" i="22"/>
  <c r="G253" i="22"/>
  <c r="F253" i="22"/>
  <c r="E253" i="22"/>
  <c r="H252" i="22"/>
  <c r="G252" i="22"/>
  <c r="F252" i="22"/>
  <c r="E252" i="22"/>
  <c r="G251" i="22"/>
  <c r="F251" i="22"/>
  <c r="E251" i="22"/>
  <c r="H250" i="22"/>
  <c r="G250" i="22"/>
  <c r="F250" i="22"/>
  <c r="E250" i="22"/>
  <c r="H249" i="22"/>
  <c r="G249" i="22"/>
  <c r="F249" i="22"/>
  <c r="E249" i="22"/>
  <c r="I247" i="22"/>
  <c r="I276" i="22" s="1"/>
  <c r="K241" i="22"/>
  <c r="J241" i="22"/>
  <c r="I241" i="22"/>
  <c r="H241" i="22"/>
  <c r="F241" i="22"/>
  <c r="E241" i="22"/>
  <c r="K240" i="22"/>
  <c r="J240" i="22"/>
  <c r="I240" i="22"/>
  <c r="H240" i="22"/>
  <c r="G240" i="22"/>
  <c r="F240" i="22"/>
  <c r="E240" i="22"/>
  <c r="B235" i="22"/>
  <c r="B234" i="22"/>
  <c r="K204" i="22"/>
  <c r="J204" i="22"/>
  <c r="I204" i="22"/>
  <c r="H204" i="22"/>
  <c r="G204" i="22"/>
  <c r="F204" i="22"/>
  <c r="E204" i="22"/>
  <c r="B193" i="22"/>
  <c r="B238" i="22" s="1"/>
  <c r="B241" i="22" s="1"/>
  <c r="K192" i="22"/>
  <c r="J192" i="22"/>
  <c r="B192" i="22"/>
  <c r="B237" i="22" s="1"/>
  <c r="B240" i="22" s="1"/>
  <c r="K187" i="22"/>
  <c r="J187" i="22"/>
  <c r="I187" i="22"/>
  <c r="H187" i="22"/>
  <c r="G187" i="22"/>
  <c r="F187" i="22"/>
  <c r="E187" i="22"/>
  <c r="B187" i="22"/>
  <c r="K152" i="22"/>
  <c r="J152" i="22"/>
  <c r="I152" i="22"/>
  <c r="H152" i="22"/>
  <c r="G152" i="22"/>
  <c r="F152" i="22"/>
  <c r="E152" i="22"/>
  <c r="K137" i="22"/>
  <c r="J137" i="22"/>
  <c r="I137" i="22"/>
  <c r="H137" i="22"/>
  <c r="G137" i="22"/>
  <c r="F137" i="22"/>
  <c r="E137" i="22"/>
  <c r="B137" i="22"/>
  <c r="B151" i="22" s="1"/>
  <c r="B172" i="22" s="1"/>
  <c r="B186" i="22" s="1"/>
  <c r="B258" i="22" s="1"/>
  <c r="B272" i="22" s="1"/>
  <c r="K136" i="22"/>
  <c r="J136" i="22"/>
  <c r="I136" i="22"/>
  <c r="H136" i="22"/>
  <c r="G136" i="22"/>
  <c r="F136" i="22"/>
  <c r="E136" i="22"/>
  <c r="B136" i="22"/>
  <c r="B150" i="22" s="1"/>
  <c r="B171" i="22" s="1"/>
  <c r="B185" i="22" s="1"/>
  <c r="B257" i="22" s="1"/>
  <c r="B271" i="22" s="1"/>
  <c r="K135" i="22"/>
  <c r="J135" i="22"/>
  <c r="I135" i="22"/>
  <c r="H135" i="22"/>
  <c r="G135" i="22"/>
  <c r="F135" i="22"/>
  <c r="E135" i="22"/>
  <c r="B135" i="22"/>
  <c r="B149" i="22" s="1"/>
  <c r="B170" i="22" s="1"/>
  <c r="B184" i="22" s="1"/>
  <c r="B256" i="22" s="1"/>
  <c r="B270" i="22" s="1"/>
  <c r="K134" i="22"/>
  <c r="J134" i="22"/>
  <c r="I134" i="22"/>
  <c r="H134" i="22"/>
  <c r="G134" i="22"/>
  <c r="F134" i="22"/>
  <c r="E134" i="22"/>
  <c r="B134" i="22"/>
  <c r="B148" i="22" s="1"/>
  <c r="B169" i="22" s="1"/>
  <c r="B183" i="22" s="1"/>
  <c r="B255" i="22" s="1"/>
  <c r="B269" i="22" s="1"/>
  <c r="K133" i="22"/>
  <c r="J133" i="22"/>
  <c r="I133" i="22"/>
  <c r="H133" i="22"/>
  <c r="G133" i="22"/>
  <c r="F133" i="22"/>
  <c r="E133" i="22"/>
  <c r="B133" i="22"/>
  <c r="B147" i="22" s="1"/>
  <c r="B168" i="22" s="1"/>
  <c r="B182" i="22" s="1"/>
  <c r="B254" i="22" s="1"/>
  <c r="B268" i="22" s="1"/>
  <c r="K132" i="22"/>
  <c r="J132" i="22"/>
  <c r="I132" i="22"/>
  <c r="H132" i="22"/>
  <c r="G132" i="22"/>
  <c r="F132" i="22"/>
  <c r="E132" i="22"/>
  <c r="B132" i="22"/>
  <c r="B146" i="22" s="1"/>
  <c r="B167" i="22" s="1"/>
  <c r="B181" i="22" s="1"/>
  <c r="B253" i="22" s="1"/>
  <c r="B267" i="22" s="1"/>
  <c r="K131" i="22"/>
  <c r="J131" i="22"/>
  <c r="I131" i="22"/>
  <c r="H131" i="22"/>
  <c r="G131" i="22"/>
  <c r="F131" i="22"/>
  <c r="E131" i="22"/>
  <c r="B131" i="22"/>
  <c r="B145" i="22" s="1"/>
  <c r="B166" i="22" s="1"/>
  <c r="B180" i="22" s="1"/>
  <c r="B252" i="22" s="1"/>
  <c r="B266" i="22" s="1"/>
  <c r="K130" i="22"/>
  <c r="J130" i="22"/>
  <c r="I130" i="22"/>
  <c r="H130" i="22"/>
  <c r="G130" i="22"/>
  <c r="F130" i="22"/>
  <c r="E130" i="22"/>
  <c r="B130" i="22"/>
  <c r="B144" i="22" s="1"/>
  <c r="B165" i="22" s="1"/>
  <c r="B179" i="22" s="1"/>
  <c r="B251" i="22" s="1"/>
  <c r="B265" i="22" s="1"/>
  <c r="K129" i="22"/>
  <c r="J129" i="22"/>
  <c r="I129" i="22"/>
  <c r="H129" i="22"/>
  <c r="G129" i="22"/>
  <c r="F129" i="22"/>
  <c r="E129" i="22"/>
  <c r="B129" i="22"/>
  <c r="B143" i="22" s="1"/>
  <c r="B164" i="22" s="1"/>
  <c r="B178" i="22" s="1"/>
  <c r="B250" i="22" s="1"/>
  <c r="B264" i="22" s="1"/>
  <c r="K128" i="22"/>
  <c r="J128" i="22"/>
  <c r="I128" i="22"/>
  <c r="H128" i="22"/>
  <c r="G128" i="22"/>
  <c r="F128" i="22"/>
  <c r="E128" i="22"/>
  <c r="B128" i="22"/>
  <c r="B142" i="22" s="1"/>
  <c r="B163" i="22" s="1"/>
  <c r="B177" i="22" s="1"/>
  <c r="B249" i="22" s="1"/>
  <c r="B263" i="22" s="1"/>
  <c r="E105" i="22"/>
  <c r="E104" i="22"/>
  <c r="B104" i="22"/>
  <c r="E103" i="22"/>
  <c r="B103" i="22"/>
  <c r="E102" i="22"/>
  <c r="B102" i="22"/>
  <c r="E101" i="22"/>
  <c r="B101" i="22"/>
  <c r="E98" i="22"/>
  <c r="E97" i="22"/>
  <c r="E96" i="22"/>
  <c r="B75" i="22"/>
  <c r="B92" i="22" s="1"/>
  <c r="B121" i="22" s="1"/>
  <c r="B244" i="22" s="1"/>
  <c r="B279" i="22" s="1"/>
  <c r="B74" i="22"/>
  <c r="B91" i="22" s="1"/>
  <c r="B120" i="22" s="1"/>
  <c r="B243" i="22" s="1"/>
  <c r="B278" i="22" s="1"/>
  <c r="K62" i="22"/>
  <c r="J62" i="22"/>
  <c r="I62" i="22"/>
  <c r="H62" i="22"/>
  <c r="G62" i="22"/>
  <c r="F62" i="22"/>
  <c r="E62" i="22"/>
  <c r="K56" i="22"/>
  <c r="J56" i="22"/>
  <c r="I56" i="22"/>
  <c r="H56" i="22"/>
  <c r="G56" i="22"/>
  <c r="F56" i="22"/>
  <c r="E56" i="22"/>
  <c r="B56" i="22"/>
  <c r="K55" i="22"/>
  <c r="J55" i="22"/>
  <c r="I55" i="22"/>
  <c r="H55" i="22"/>
  <c r="G55" i="22"/>
  <c r="F55" i="22"/>
  <c r="E55" i="22"/>
  <c r="B55" i="22"/>
  <c r="K54" i="22"/>
  <c r="J54" i="22"/>
  <c r="I54" i="22"/>
  <c r="H54" i="22"/>
  <c r="G54" i="22"/>
  <c r="F54" i="22"/>
  <c r="E54" i="22"/>
  <c r="K53" i="22"/>
  <c r="J53" i="22"/>
  <c r="I53" i="22"/>
  <c r="H53" i="22"/>
  <c r="G53" i="22"/>
  <c r="F53" i="22"/>
  <c r="E53" i="22"/>
  <c r="K52" i="22"/>
  <c r="J52" i="22"/>
  <c r="I52" i="22"/>
  <c r="H52" i="22"/>
  <c r="G52" i="22"/>
  <c r="F52" i="22"/>
  <c r="E52" i="22"/>
  <c r="K51" i="22"/>
  <c r="J51" i="22"/>
  <c r="I51" i="22"/>
  <c r="H51" i="22"/>
  <c r="G51" i="22"/>
  <c r="F51" i="22"/>
  <c r="E51" i="22"/>
  <c r="K50" i="22"/>
  <c r="J50" i="22"/>
  <c r="I50" i="22"/>
  <c r="H50" i="22"/>
  <c r="G50" i="22"/>
  <c r="F50" i="22"/>
  <c r="E50" i="22"/>
  <c r="L43" i="22"/>
  <c r="K37" i="22"/>
  <c r="J37" i="22"/>
  <c r="I37" i="22"/>
  <c r="H37" i="22"/>
  <c r="G37" i="22"/>
  <c r="F37" i="22"/>
  <c r="E37" i="22"/>
  <c r="B37" i="22"/>
  <c r="B73" i="22" s="1"/>
  <c r="B90" i="22" s="1"/>
  <c r="K36" i="22"/>
  <c r="J36" i="22"/>
  <c r="I36" i="22"/>
  <c r="H36" i="22"/>
  <c r="G36" i="22"/>
  <c r="F36" i="22"/>
  <c r="E36" i="22"/>
  <c r="B36" i="22"/>
  <c r="B53" i="22" s="1"/>
  <c r="K35" i="22"/>
  <c r="J35" i="22"/>
  <c r="I35" i="22"/>
  <c r="H35" i="22"/>
  <c r="G35" i="22"/>
  <c r="F35" i="22"/>
  <c r="E35" i="22"/>
  <c r="B35" i="22"/>
  <c r="B52" i="22" s="1"/>
  <c r="K34" i="22"/>
  <c r="J34" i="22"/>
  <c r="I34" i="22"/>
  <c r="H34" i="22"/>
  <c r="G34" i="22"/>
  <c r="F34" i="22"/>
  <c r="E34" i="22"/>
  <c r="B34" i="22"/>
  <c r="B51" i="22" s="1"/>
  <c r="K33" i="22"/>
  <c r="J33" i="22"/>
  <c r="I33" i="22"/>
  <c r="H33" i="22"/>
  <c r="G33" i="22"/>
  <c r="F33" i="22"/>
  <c r="E33" i="22"/>
  <c r="B33" i="22"/>
  <c r="B69" i="22" s="1"/>
  <c r="B86" i="22" s="1"/>
  <c r="L26" i="22"/>
  <c r="B26" i="22"/>
  <c r="B62" i="22" s="1"/>
  <c r="J499" i="22" l="1"/>
  <c r="H413" i="22"/>
  <c r="H498" i="22" s="1"/>
  <c r="E382" i="22"/>
  <c r="E383" i="22"/>
  <c r="F513" i="22" s="1"/>
  <c r="I143" i="22"/>
  <c r="I151" i="22"/>
  <c r="E409" i="22"/>
  <c r="E494" i="22" s="1"/>
  <c r="E324" i="22"/>
  <c r="F509" i="22" s="1"/>
  <c r="E325" i="22"/>
  <c r="H407" i="22"/>
  <c r="E300" i="22"/>
  <c r="E299" i="22"/>
  <c r="H408" i="22"/>
  <c r="H493" i="22" s="1"/>
  <c r="E310" i="22"/>
  <c r="E311" i="22"/>
  <c r="F508" i="22" s="1"/>
  <c r="E150" i="22"/>
  <c r="G67" i="22"/>
  <c r="G166" i="22" s="1"/>
  <c r="J67" i="22"/>
  <c r="J166" i="22" s="1"/>
  <c r="K64" i="22"/>
  <c r="F64" i="22"/>
  <c r="F163" i="22" s="1"/>
  <c r="J66" i="22"/>
  <c r="J165" i="22" s="1"/>
  <c r="K66" i="22"/>
  <c r="K165" i="22" s="1"/>
  <c r="F67" i="22"/>
  <c r="F166" i="22" s="1"/>
  <c r="B49" i="22"/>
  <c r="B48" i="22"/>
  <c r="G66" i="22"/>
  <c r="G165" i="22" s="1"/>
  <c r="G65" i="22"/>
  <c r="G164" i="22" s="1"/>
  <c r="E157" i="22"/>
  <c r="E158" i="22" s="1"/>
  <c r="K65" i="22"/>
  <c r="K164" i="22" s="1"/>
  <c r="G64" i="22"/>
  <c r="G163" i="22" s="1"/>
  <c r="I65" i="22"/>
  <c r="I164" i="22" s="1"/>
  <c r="E64" i="22"/>
  <c r="E163" i="22" s="1"/>
  <c r="K68" i="22"/>
  <c r="K167" i="22" s="1"/>
  <c r="K67" i="22"/>
  <c r="E68" i="22"/>
  <c r="E167" i="22" s="1"/>
  <c r="B46" i="22"/>
  <c r="B45" i="22"/>
  <c r="L30" i="22"/>
  <c r="J65" i="22"/>
  <c r="J64" i="22"/>
  <c r="G145" i="22"/>
  <c r="H68" i="22"/>
  <c r="H167" i="22" s="1"/>
  <c r="H67" i="22"/>
  <c r="H66" i="22"/>
  <c r="H165" i="22" s="1"/>
  <c r="I64" i="22"/>
  <c r="I163" i="22" s="1"/>
  <c r="I68" i="22"/>
  <c r="I167" i="22" s="1"/>
  <c r="I67" i="22"/>
  <c r="I166" i="22" s="1"/>
  <c r="I66" i="22"/>
  <c r="I165" i="22" s="1"/>
  <c r="H65" i="22"/>
  <c r="H164" i="22" s="1"/>
  <c r="L45" i="22"/>
  <c r="F68" i="22"/>
  <c r="F167" i="22" s="1"/>
  <c r="L49" i="22"/>
  <c r="L31" i="22"/>
  <c r="F65" i="22"/>
  <c r="F164" i="22" s="1"/>
  <c r="L28" i="22"/>
  <c r="E65" i="22"/>
  <c r="J68" i="22"/>
  <c r="J167" i="22" s="1"/>
  <c r="G68" i="22"/>
  <c r="H71" i="22"/>
  <c r="H170" i="22" s="1"/>
  <c r="L46" i="22"/>
  <c r="L29" i="22"/>
  <c r="F66" i="22"/>
  <c r="J70" i="22"/>
  <c r="J169" i="22" s="1"/>
  <c r="B66" i="22"/>
  <c r="B83" i="22" s="1"/>
  <c r="L48" i="22"/>
  <c r="E66" i="22"/>
  <c r="E165" i="22" s="1"/>
  <c r="J454" i="22"/>
  <c r="H64" i="22"/>
  <c r="L32" i="22"/>
  <c r="L47" i="22"/>
  <c r="E67" i="22"/>
  <c r="F146" i="22"/>
  <c r="E143" i="22"/>
  <c r="G148" i="22"/>
  <c r="K70" i="22"/>
  <c r="K169" i="22" s="1"/>
  <c r="I71" i="22"/>
  <c r="I170" i="22" s="1"/>
  <c r="G149" i="22"/>
  <c r="H418" i="22"/>
  <c r="H442" i="22"/>
  <c r="G157" i="22"/>
  <c r="G158" i="22" s="1"/>
  <c r="J71" i="22"/>
  <c r="J170" i="22" s="1"/>
  <c r="J72" i="22"/>
  <c r="J171" i="22" s="1"/>
  <c r="K69" i="22"/>
  <c r="K168" i="22" s="1"/>
  <c r="F149" i="22"/>
  <c r="G72" i="22"/>
  <c r="G171" i="22" s="1"/>
  <c r="F70" i="22"/>
  <c r="F169" i="22" s="1"/>
  <c r="L132" i="22"/>
  <c r="B71" i="22"/>
  <c r="B88" i="22" s="1"/>
  <c r="E69" i="22"/>
  <c r="E79" i="22" s="1"/>
  <c r="L34" i="22"/>
  <c r="J143" i="22"/>
  <c r="J144" i="22"/>
  <c r="J145" i="22"/>
  <c r="J146" i="22"/>
  <c r="I147" i="22"/>
  <c r="I157" i="22"/>
  <c r="I158" i="22" s="1"/>
  <c r="F148" i="22"/>
  <c r="I254" i="22"/>
  <c r="K147" i="22"/>
  <c r="K150" i="22"/>
  <c r="I255" i="22"/>
  <c r="H69" i="22"/>
  <c r="H79" i="22" s="1"/>
  <c r="H72" i="22"/>
  <c r="H73" i="22"/>
  <c r="H172" i="22" s="1"/>
  <c r="I249" i="22"/>
  <c r="K72" i="22"/>
  <c r="K171" i="22" s="1"/>
  <c r="L56" i="22"/>
  <c r="F143" i="22"/>
  <c r="F144" i="22"/>
  <c r="E147" i="22"/>
  <c r="F150" i="22"/>
  <c r="K71" i="22"/>
  <c r="K170" i="22" s="1"/>
  <c r="K73" i="22"/>
  <c r="K172" i="22" s="1"/>
  <c r="B43" i="22"/>
  <c r="J73" i="22"/>
  <c r="L129" i="22"/>
  <c r="I258" i="22"/>
  <c r="F145" i="22"/>
  <c r="E151" i="22"/>
  <c r="J69" i="22"/>
  <c r="J79" i="22" s="1"/>
  <c r="B54" i="22"/>
  <c r="G143" i="22"/>
  <c r="G146" i="22"/>
  <c r="L133" i="22"/>
  <c r="F151" i="22"/>
  <c r="F147" i="22"/>
  <c r="H466" i="22"/>
  <c r="H478" i="22"/>
  <c r="G69" i="22"/>
  <c r="G168" i="22" s="1"/>
  <c r="G70" i="22"/>
  <c r="G169" i="22" s="1"/>
  <c r="L36" i="22"/>
  <c r="L54" i="22"/>
  <c r="L55" i="22"/>
  <c r="H145" i="22"/>
  <c r="H146" i="22"/>
  <c r="G150" i="22"/>
  <c r="G147" i="22"/>
  <c r="L240" i="22"/>
  <c r="I253" i="22"/>
  <c r="H70" i="22"/>
  <c r="G73" i="22"/>
  <c r="G172" i="22" s="1"/>
  <c r="F73" i="22"/>
  <c r="I144" i="22"/>
  <c r="I145" i="22"/>
  <c r="H148" i="22"/>
  <c r="H149" i="22"/>
  <c r="H150" i="22"/>
  <c r="I148" i="22"/>
  <c r="I149" i="22"/>
  <c r="I252" i="22"/>
  <c r="E392" i="22"/>
  <c r="L52" i="22"/>
  <c r="I73" i="22"/>
  <c r="F69" i="22"/>
  <c r="K143" i="22"/>
  <c r="K145" i="22"/>
  <c r="K146" i="22"/>
  <c r="J147" i="22"/>
  <c r="J148" i="22"/>
  <c r="J151" i="22"/>
  <c r="E149" i="22"/>
  <c r="I250" i="22"/>
  <c r="J414" i="22"/>
  <c r="E71" i="22"/>
  <c r="L35" i="22"/>
  <c r="E72" i="22"/>
  <c r="B85" i="22"/>
  <c r="F71" i="22"/>
  <c r="H151" i="22"/>
  <c r="H157" i="22"/>
  <c r="H158" i="22" s="1"/>
  <c r="I69" i="22"/>
  <c r="J149" i="22"/>
  <c r="L135" i="22"/>
  <c r="J150" i="22"/>
  <c r="G71" i="22"/>
  <c r="I70" i="22"/>
  <c r="B70" i="22"/>
  <c r="B87" i="22" s="1"/>
  <c r="I72" i="22"/>
  <c r="B50" i="22"/>
  <c r="L50" i="22"/>
  <c r="B81" i="22"/>
  <c r="B72" i="22"/>
  <c r="B89" i="22" s="1"/>
  <c r="L130" i="22"/>
  <c r="E144" i="22"/>
  <c r="L131" i="22"/>
  <c r="E145" i="22"/>
  <c r="E146" i="22"/>
  <c r="L33" i="22"/>
  <c r="L51" i="22"/>
  <c r="L53" i="22"/>
  <c r="F72" i="22"/>
  <c r="L37" i="22"/>
  <c r="E73" i="22"/>
  <c r="I150" i="22"/>
  <c r="E70" i="22"/>
  <c r="K148" i="22"/>
  <c r="K149" i="22"/>
  <c r="G144" i="22"/>
  <c r="H143" i="22"/>
  <c r="H144" i="22"/>
  <c r="L134" i="22"/>
  <c r="L136" i="22"/>
  <c r="K157" i="22"/>
  <c r="K158" i="22" s="1"/>
  <c r="K151" i="22"/>
  <c r="E148" i="22"/>
  <c r="I146" i="22"/>
  <c r="G151" i="22"/>
  <c r="H147" i="22"/>
  <c r="L137" i="22"/>
  <c r="J157" i="22"/>
  <c r="J158" i="22" s="1"/>
  <c r="L128" i="22"/>
  <c r="K144" i="22"/>
  <c r="F157" i="22"/>
  <c r="F158" i="22" s="1"/>
  <c r="I257" i="22"/>
  <c r="E393" i="22"/>
  <c r="I256" i="22"/>
  <c r="J430" i="22"/>
  <c r="H430" i="22"/>
  <c r="E411" i="22"/>
  <c r="E496" i="22" s="1"/>
  <c r="E394" i="22" l="1"/>
  <c r="E499" i="22"/>
  <c r="H414" i="22"/>
  <c r="H492" i="22"/>
  <c r="E384" i="22"/>
  <c r="E312" i="22"/>
  <c r="E301" i="22"/>
  <c r="F507" i="22" s="1"/>
  <c r="J83" i="22"/>
  <c r="G85" i="22"/>
  <c r="J84" i="22"/>
  <c r="J180" i="22"/>
  <c r="J181" i="22"/>
  <c r="H85" i="22"/>
  <c r="J82" i="22"/>
  <c r="F86" i="22"/>
  <c r="I178" i="22"/>
  <c r="J163" i="22"/>
  <c r="H166" i="22"/>
  <c r="H181" i="22" s="1"/>
  <c r="K84" i="22"/>
  <c r="K85" i="22"/>
  <c r="K82" i="22"/>
  <c r="H82" i="22"/>
  <c r="H83" i="22"/>
  <c r="K166" i="22"/>
  <c r="K180" i="22" s="1"/>
  <c r="K83" i="22"/>
  <c r="I85" i="22"/>
  <c r="G167" i="22"/>
  <c r="G181" i="22" s="1"/>
  <c r="E168" i="22"/>
  <c r="E182" i="22" s="1"/>
  <c r="I83" i="22"/>
  <c r="F82" i="22"/>
  <c r="J164" i="22"/>
  <c r="J179" i="22" s="1"/>
  <c r="H168" i="22"/>
  <c r="H182" i="22" s="1"/>
  <c r="F85" i="22"/>
  <c r="H86" i="22"/>
  <c r="I84" i="22"/>
  <c r="G82" i="22"/>
  <c r="I82" i="22"/>
  <c r="F83" i="22"/>
  <c r="H84" i="22"/>
  <c r="J85" i="22"/>
  <c r="E85" i="22"/>
  <c r="F165" i="22"/>
  <c r="F179" i="22" s="1"/>
  <c r="J88" i="22"/>
  <c r="H88" i="22"/>
  <c r="H89" i="22"/>
  <c r="H163" i="22"/>
  <c r="H178" i="22" s="1"/>
  <c r="J168" i="22"/>
  <c r="J182" i="22" s="1"/>
  <c r="J86" i="22"/>
  <c r="F84" i="22"/>
  <c r="H90" i="22"/>
  <c r="K86" i="22"/>
  <c r="H171" i="22"/>
  <c r="H186" i="22" s="1"/>
  <c r="G86" i="22"/>
  <c r="F168" i="22"/>
  <c r="F182" i="22" s="1"/>
  <c r="K183" i="22"/>
  <c r="K198" i="22"/>
  <c r="K234" i="22" s="1"/>
  <c r="G89" i="22"/>
  <c r="K79" i="22"/>
  <c r="F87" i="22"/>
  <c r="F79" i="22"/>
  <c r="I180" i="22"/>
  <c r="G87" i="22"/>
  <c r="G79" i="22"/>
  <c r="J89" i="22"/>
  <c r="K90" i="22"/>
  <c r="K87" i="22"/>
  <c r="K184" i="22"/>
  <c r="E86" i="22"/>
  <c r="H179" i="22"/>
  <c r="I90" i="22"/>
  <c r="J185" i="22"/>
  <c r="H87" i="22"/>
  <c r="K88" i="22"/>
  <c r="J87" i="22"/>
  <c r="H169" i="22"/>
  <c r="H184" i="22" s="1"/>
  <c r="G83" i="22"/>
  <c r="G90" i="22"/>
  <c r="K89" i="22"/>
  <c r="I172" i="22"/>
  <c r="G178" i="22"/>
  <c r="G84" i="22"/>
  <c r="K163" i="22"/>
  <c r="G180" i="22"/>
  <c r="G183" i="22"/>
  <c r="F181" i="22"/>
  <c r="J90" i="22"/>
  <c r="F172" i="22"/>
  <c r="F192" i="22" s="1"/>
  <c r="J172" i="22"/>
  <c r="J186" i="22" s="1"/>
  <c r="F90" i="22"/>
  <c r="K185" i="22"/>
  <c r="E169" i="22"/>
  <c r="E87" i="22"/>
  <c r="E164" i="22"/>
  <c r="E83" i="22"/>
  <c r="E82" i="22"/>
  <c r="E171" i="22"/>
  <c r="E89" i="22"/>
  <c r="I181" i="22"/>
  <c r="K186" i="22"/>
  <c r="J184" i="22"/>
  <c r="I168" i="22"/>
  <c r="I182" i="22" s="1"/>
  <c r="I86" i="22"/>
  <c r="I79" i="22"/>
  <c r="F88" i="22"/>
  <c r="F170" i="22"/>
  <c r="F184" i="22" s="1"/>
  <c r="E88" i="22"/>
  <c r="E170" i="22"/>
  <c r="E414" i="22"/>
  <c r="L158" i="22"/>
  <c r="J198" i="22"/>
  <c r="J234" i="22" s="1"/>
  <c r="F171" i="22"/>
  <c r="F89" i="22"/>
  <c r="K182" i="22"/>
  <c r="H192" i="22"/>
  <c r="G186" i="22"/>
  <c r="G192" i="22"/>
  <c r="I89" i="22"/>
  <c r="I171" i="22"/>
  <c r="I185" i="22" s="1"/>
  <c r="F178" i="22"/>
  <c r="I169" i="22"/>
  <c r="I88" i="22"/>
  <c r="I87" i="22"/>
  <c r="G170" i="22"/>
  <c r="G184" i="22" s="1"/>
  <c r="G88" i="22"/>
  <c r="I179" i="22"/>
  <c r="K179" i="22"/>
  <c r="L157" i="22"/>
  <c r="G179" i="22"/>
  <c r="E166" i="22"/>
  <c r="E180" i="22" s="1"/>
  <c r="E84" i="22"/>
  <c r="E172" i="22"/>
  <c r="E90" i="22"/>
  <c r="H180" i="22" l="1"/>
  <c r="G182" i="22"/>
  <c r="J178" i="22"/>
  <c r="K181" i="22"/>
  <c r="H185" i="22"/>
  <c r="F183" i="22"/>
  <c r="F180" i="22"/>
  <c r="E183" i="22"/>
  <c r="K178" i="22"/>
  <c r="G185" i="22"/>
  <c r="H183" i="22"/>
  <c r="J183" i="22"/>
  <c r="I186" i="22"/>
  <c r="I192" i="22"/>
  <c r="I198" i="22" s="1"/>
  <c r="I234" i="22" s="1"/>
  <c r="F185" i="22"/>
  <c r="E185" i="22"/>
  <c r="E184" i="22"/>
  <c r="I183" i="22"/>
  <c r="I184" i="22"/>
  <c r="E178" i="22"/>
  <c r="E179" i="22"/>
  <c r="H193" i="22"/>
  <c r="H199" i="22" s="1"/>
  <c r="H235" i="22" s="1"/>
  <c r="H198" i="22"/>
  <c r="H234" i="22" s="1"/>
  <c r="E181" i="22"/>
  <c r="F198" i="22"/>
  <c r="F234" i="22" s="1"/>
  <c r="F193" i="22"/>
  <c r="F199" i="22" s="1"/>
  <c r="F235" i="22" s="1"/>
  <c r="G193" i="22"/>
  <c r="G199" i="22" s="1"/>
  <c r="G235" i="22" s="1"/>
  <c r="G198" i="22"/>
  <c r="G234" i="22" s="1"/>
  <c r="E192" i="22"/>
  <c r="E186" i="22"/>
  <c r="F186" i="22"/>
  <c r="I193" i="22" l="1"/>
  <c r="I199" i="22" s="1"/>
  <c r="I235" i="22" s="1"/>
  <c r="E198" i="22"/>
  <c r="E193" i="22"/>
  <c r="E199" i="22" s="1"/>
  <c r="L198" i="22" l="1"/>
  <c r="E234" i="22"/>
  <c r="E235" i="22"/>
  <c r="L234" i="22" l="1"/>
  <c r="N45" i="9" l="1"/>
  <c r="K193" i="22" s="1"/>
  <c r="K199" i="22" s="1"/>
  <c r="K235" i="22" s="1"/>
  <c r="M45" i="9"/>
  <c r="J193" i="22" s="1"/>
  <c r="J199" i="22" s="1"/>
  <c r="H45" i="9"/>
  <c r="L45" i="9"/>
  <c r="K44" i="9"/>
  <c r="K45" i="9" s="1"/>
  <c r="J44" i="9"/>
  <c r="I44" i="9"/>
  <c r="I45" i="9" s="1"/>
  <c r="H44" i="9"/>
  <c r="J235" i="22" l="1"/>
  <c r="L199" i="22"/>
  <c r="L235" i="22" l="1"/>
  <c r="G241" i="22" l="1"/>
  <c r="L241" i="22" s="1"/>
  <c r="C32" i="18" l="1"/>
  <c r="D32" i="18"/>
  <c r="E32" i="18"/>
  <c r="M48" i="11" l="1"/>
  <c r="L380" i="22" s="1"/>
  <c r="L48" i="11"/>
  <c r="K380" i="22" s="1"/>
  <c r="K48" i="11"/>
  <c r="J48" i="11"/>
  <c r="I48" i="11"/>
  <c r="H48" i="11"/>
  <c r="G48" i="11"/>
  <c r="F48" i="11"/>
  <c r="F63" i="11" s="1"/>
  <c r="K49" i="11"/>
  <c r="J381" i="22" s="1"/>
  <c r="J49" i="11"/>
  <c r="I381" i="22" s="1"/>
  <c r="I49" i="11"/>
  <c r="H381" i="22" s="1"/>
  <c r="H49" i="11"/>
  <c r="G381" i="22" s="1"/>
  <c r="G49" i="11"/>
  <c r="F381" i="22" s="1"/>
  <c r="F49" i="11"/>
  <c r="K44" i="11"/>
  <c r="J366" i="22" s="1"/>
  <c r="J374" i="22" s="1"/>
  <c r="J44" i="11"/>
  <c r="I366" i="22" s="1"/>
  <c r="I374" i="22" s="1"/>
  <c r="I44" i="11"/>
  <c r="H366" i="22" s="1"/>
  <c r="H374" i="22" s="1"/>
  <c r="H44" i="11"/>
  <c r="G366" i="22" s="1"/>
  <c r="G374" i="22" s="1"/>
  <c r="G44" i="11"/>
  <c r="F366" i="22" s="1"/>
  <c r="F374" i="22" s="1"/>
  <c r="F44" i="11"/>
  <c r="M43" i="11"/>
  <c r="L365" i="22" s="1"/>
  <c r="L43" i="11"/>
  <c r="K365" i="22" s="1"/>
  <c r="K43" i="11"/>
  <c r="J365" i="22" s="1"/>
  <c r="J43" i="11"/>
  <c r="I365" i="22" s="1"/>
  <c r="I43" i="11"/>
  <c r="H365" i="22" s="1"/>
  <c r="H43" i="11"/>
  <c r="G365" i="22" s="1"/>
  <c r="G43" i="11"/>
  <c r="F365" i="22" s="1"/>
  <c r="F43" i="11"/>
  <c r="K45" i="11"/>
  <c r="J45" i="11"/>
  <c r="I45" i="11"/>
  <c r="H45" i="11"/>
  <c r="G45" i="11"/>
  <c r="F45" i="11"/>
  <c r="K40" i="11"/>
  <c r="J40" i="11"/>
  <c r="I40" i="11"/>
  <c r="H40" i="11"/>
  <c r="G40" i="11"/>
  <c r="F40" i="11"/>
  <c r="K39" i="11"/>
  <c r="J351" i="22" s="1"/>
  <c r="J359" i="22" s="1"/>
  <c r="J39" i="11"/>
  <c r="I351" i="22" s="1"/>
  <c r="I359" i="22" s="1"/>
  <c r="I39" i="11"/>
  <c r="H351" i="22" s="1"/>
  <c r="H359" i="22" s="1"/>
  <c r="H39" i="11"/>
  <c r="G351" i="22" s="1"/>
  <c r="G359" i="22" s="1"/>
  <c r="G39" i="11"/>
  <c r="F351" i="22" s="1"/>
  <c r="F359" i="22" s="1"/>
  <c r="F39" i="11"/>
  <c r="M38" i="11"/>
  <c r="L350" i="22" s="1"/>
  <c r="L38" i="11"/>
  <c r="K350" i="22" s="1"/>
  <c r="K38" i="11"/>
  <c r="J350" i="22" s="1"/>
  <c r="J38" i="11"/>
  <c r="I350" i="22" s="1"/>
  <c r="I38" i="11"/>
  <c r="H350" i="22" s="1"/>
  <c r="H38" i="11"/>
  <c r="G350" i="22" s="1"/>
  <c r="G38" i="11"/>
  <c r="F350" i="22" s="1"/>
  <c r="F38" i="11"/>
  <c r="K35" i="11"/>
  <c r="J35" i="11"/>
  <c r="I35" i="11"/>
  <c r="H35" i="11"/>
  <c r="G35" i="11"/>
  <c r="F35" i="11"/>
  <c r="K34" i="11"/>
  <c r="J336" i="22" s="1"/>
  <c r="J344" i="22" s="1"/>
  <c r="J34" i="11"/>
  <c r="I336" i="22" s="1"/>
  <c r="I344" i="22" s="1"/>
  <c r="I34" i="11"/>
  <c r="H336" i="22" s="1"/>
  <c r="H344" i="22" s="1"/>
  <c r="H34" i="11"/>
  <c r="G336" i="22" s="1"/>
  <c r="G344" i="22" s="1"/>
  <c r="G34" i="11"/>
  <c r="F336" i="22" s="1"/>
  <c r="F344" i="22" s="1"/>
  <c r="F34" i="11"/>
  <c r="M33" i="11"/>
  <c r="L335" i="22" s="1"/>
  <c r="L33" i="11"/>
  <c r="K335" i="22" s="1"/>
  <c r="K33" i="11"/>
  <c r="J335" i="22" s="1"/>
  <c r="J33" i="11"/>
  <c r="I335" i="22" s="1"/>
  <c r="I33" i="11"/>
  <c r="H335" i="22" s="1"/>
  <c r="H33" i="11"/>
  <c r="G335" i="22" s="1"/>
  <c r="G33" i="11"/>
  <c r="F335" i="22" s="1"/>
  <c r="F33" i="11"/>
  <c r="K30" i="11"/>
  <c r="J30" i="11"/>
  <c r="I30" i="11"/>
  <c r="H30" i="11"/>
  <c r="G30" i="11"/>
  <c r="F30" i="11"/>
  <c r="K29" i="11"/>
  <c r="J320" i="22" s="1"/>
  <c r="J329" i="22" s="1"/>
  <c r="J29" i="11"/>
  <c r="I320" i="22" s="1"/>
  <c r="I329" i="22" s="1"/>
  <c r="I29" i="11"/>
  <c r="H320" i="22" s="1"/>
  <c r="H329" i="22" s="1"/>
  <c r="H29" i="11"/>
  <c r="G320" i="22" s="1"/>
  <c r="G329" i="22" s="1"/>
  <c r="G29" i="11"/>
  <c r="F320" i="22" s="1"/>
  <c r="F329" i="22" s="1"/>
  <c r="F29" i="11"/>
  <c r="M28" i="11"/>
  <c r="L319" i="22" s="1"/>
  <c r="L28" i="11"/>
  <c r="K319" i="22" s="1"/>
  <c r="K28" i="11"/>
  <c r="J319" i="22" s="1"/>
  <c r="J28" i="11"/>
  <c r="I319" i="22" s="1"/>
  <c r="I28" i="11"/>
  <c r="H319" i="22" s="1"/>
  <c r="H28" i="11"/>
  <c r="G319" i="22" s="1"/>
  <c r="G28" i="11"/>
  <c r="F319" i="22" s="1"/>
  <c r="F28" i="11"/>
  <c r="K25" i="11"/>
  <c r="J309" i="22" s="1"/>
  <c r="J25" i="11"/>
  <c r="I309" i="22" s="1"/>
  <c r="I25" i="11"/>
  <c r="H309" i="22" s="1"/>
  <c r="H25" i="11"/>
  <c r="G309" i="22" s="1"/>
  <c r="G25" i="11"/>
  <c r="F309" i="22" s="1"/>
  <c r="F25" i="11"/>
  <c r="M24" i="11"/>
  <c r="L308" i="22" s="1"/>
  <c r="L24" i="11"/>
  <c r="K308" i="22" s="1"/>
  <c r="K24" i="11"/>
  <c r="J308" i="22" s="1"/>
  <c r="J24" i="11"/>
  <c r="I308" i="22" s="1"/>
  <c r="I24" i="11"/>
  <c r="H308" i="22" s="1"/>
  <c r="H24" i="11"/>
  <c r="G308" i="22" s="1"/>
  <c r="G24" i="11"/>
  <c r="F308" i="22" s="1"/>
  <c r="F24" i="11"/>
  <c r="K21" i="11"/>
  <c r="J21" i="11"/>
  <c r="I21" i="11"/>
  <c r="H21" i="11"/>
  <c r="G298" i="22" s="1"/>
  <c r="G21" i="11"/>
  <c r="F298" i="22" s="1"/>
  <c r="F21" i="11"/>
  <c r="M20" i="11"/>
  <c r="L297" i="22" s="1"/>
  <c r="L20" i="11"/>
  <c r="K297" i="22" s="1"/>
  <c r="K20" i="11"/>
  <c r="J20" i="11"/>
  <c r="I20" i="11"/>
  <c r="H20" i="11"/>
  <c r="G297" i="22" s="1"/>
  <c r="G20" i="11"/>
  <c r="F297" i="22" s="1"/>
  <c r="F20" i="11"/>
  <c r="E20" i="11"/>
  <c r="K12" i="11"/>
  <c r="J12" i="11"/>
  <c r="I12" i="11"/>
  <c r="H12" i="11"/>
  <c r="G12" i="11"/>
  <c r="F12" i="11"/>
  <c r="E13" i="22" s="1"/>
  <c r="E47" i="18"/>
  <c r="E48" i="18"/>
  <c r="E49" i="18"/>
  <c r="E50" i="18"/>
  <c r="E51" i="18"/>
  <c r="D47" i="18"/>
  <c r="D48" i="18"/>
  <c r="D49" i="18"/>
  <c r="D50" i="18"/>
  <c r="D51" i="18"/>
  <c r="C47" i="18"/>
  <c r="C48" i="18"/>
  <c r="C49" i="18"/>
  <c r="C50" i="18"/>
  <c r="C51" i="18"/>
  <c r="B47" i="18"/>
  <c r="B48" i="18"/>
  <c r="B49" i="18"/>
  <c r="B50" i="18"/>
  <c r="B51" i="18"/>
  <c r="F22" i="18"/>
  <c r="F21" i="18"/>
  <c r="I444" i="22" l="1"/>
  <c r="I311" i="22"/>
  <c r="G538" i="22" s="1"/>
  <c r="F548" i="22" s="1"/>
  <c r="I315" i="22"/>
  <c r="H456" i="22"/>
  <c r="G291" i="22"/>
  <c r="E15" i="22"/>
  <c r="F15" i="22" s="1"/>
  <c r="G15" i="22" s="1"/>
  <c r="F456" i="22"/>
  <c r="E468" i="22"/>
  <c r="J314" i="22"/>
  <c r="H468" i="22"/>
  <c r="I456" i="22"/>
  <c r="L456" i="22" s="1"/>
  <c r="M456" i="22" s="1"/>
  <c r="J311" i="22"/>
  <c r="G548" i="22" s="1"/>
  <c r="J315" i="22"/>
  <c r="F481" i="22"/>
  <c r="F494" i="22" s="1"/>
  <c r="G494" i="22" s="1"/>
  <c r="L328" i="22"/>
  <c r="F434" i="22"/>
  <c r="H343" i="22"/>
  <c r="E446" i="22"/>
  <c r="F483" i="22"/>
  <c r="F496" i="22" s="1"/>
  <c r="G496" i="22" s="1"/>
  <c r="L358" i="22"/>
  <c r="E472" i="22"/>
  <c r="F460" i="22"/>
  <c r="J373" i="22"/>
  <c r="G63" i="11"/>
  <c r="F380" i="22"/>
  <c r="E14" i="22"/>
  <c r="F14" i="22" s="1"/>
  <c r="G14" i="22" s="1"/>
  <c r="F291" i="22"/>
  <c r="I60" i="11"/>
  <c r="H297" i="22"/>
  <c r="I53" i="11"/>
  <c r="I57" i="11" s="1"/>
  <c r="H298" i="22"/>
  <c r="E16" i="22"/>
  <c r="F16" i="22" s="1"/>
  <c r="G16" i="22" s="1"/>
  <c r="H291" i="22"/>
  <c r="J60" i="11"/>
  <c r="I297" i="22"/>
  <c r="J53" i="11"/>
  <c r="J57" i="11" s="1"/>
  <c r="I298" i="22"/>
  <c r="F468" i="22"/>
  <c r="E480" i="22" s="1"/>
  <c r="K314" i="22"/>
  <c r="I343" i="22"/>
  <c r="F446" i="22"/>
  <c r="E458" i="22"/>
  <c r="K373" i="22"/>
  <c r="F472" i="22"/>
  <c r="H63" i="11"/>
  <c r="G380" i="22"/>
  <c r="I419" i="22"/>
  <c r="H431" i="22"/>
  <c r="G300" i="22"/>
  <c r="G517" i="22" s="1"/>
  <c r="G393" i="22"/>
  <c r="G399" i="22" s="1"/>
  <c r="G304" i="22"/>
  <c r="K358" i="22"/>
  <c r="F471" i="22"/>
  <c r="E17" i="22"/>
  <c r="I291" i="22"/>
  <c r="K60" i="11"/>
  <c r="J297" i="22"/>
  <c r="K53" i="11"/>
  <c r="K57" i="11" s="1"/>
  <c r="J298" i="22"/>
  <c r="F480" i="22"/>
  <c r="F493" i="22" s="1"/>
  <c r="G493" i="22" s="1"/>
  <c r="L314" i="22"/>
  <c r="F409" i="22"/>
  <c r="G409" i="22" s="1"/>
  <c r="N409" i="22" s="1"/>
  <c r="E421" i="22"/>
  <c r="F328" i="22"/>
  <c r="F458" i="22"/>
  <c r="G458" i="22" s="1"/>
  <c r="E470" i="22"/>
  <c r="J343" i="22"/>
  <c r="F358" i="22"/>
  <c r="E423" i="22"/>
  <c r="F411" i="22"/>
  <c r="G411" i="22" s="1"/>
  <c r="F484" i="22"/>
  <c r="F497" i="22" s="1"/>
  <c r="G497" i="22" s="1"/>
  <c r="L373" i="22"/>
  <c r="H425" i="22"/>
  <c r="I413" i="22"/>
  <c r="L413" i="22" s="1"/>
  <c r="F383" i="22"/>
  <c r="G513" i="22" s="1"/>
  <c r="F387" i="22"/>
  <c r="I63" i="11"/>
  <c r="H380" i="22"/>
  <c r="H383" i="22" s="1"/>
  <c r="G533" i="22" s="1"/>
  <c r="F543" i="22" s="1"/>
  <c r="F469" i="22"/>
  <c r="E481" i="22" s="1"/>
  <c r="G481" i="22" s="1"/>
  <c r="K328" i="22"/>
  <c r="E18" i="22"/>
  <c r="J291" i="22"/>
  <c r="K392" i="22"/>
  <c r="K398" i="22" s="1"/>
  <c r="K303" i="22"/>
  <c r="F467" i="22"/>
  <c r="G328" i="22"/>
  <c r="F421" i="22"/>
  <c r="G421" i="22" s="1"/>
  <c r="E433" i="22"/>
  <c r="F470" i="22"/>
  <c r="K343" i="22"/>
  <c r="G358" i="22"/>
  <c r="E435" i="22"/>
  <c r="F423" i="22"/>
  <c r="G423" i="22" s="1"/>
  <c r="G383" i="22"/>
  <c r="G523" i="22" s="1"/>
  <c r="G387" i="22"/>
  <c r="I425" i="22"/>
  <c r="H437" i="22"/>
  <c r="J63" i="11"/>
  <c r="I380" i="22"/>
  <c r="I383" i="22" s="1"/>
  <c r="G543" i="22" s="1"/>
  <c r="F553" i="22" s="1"/>
  <c r="F419" i="22"/>
  <c r="G392" i="22"/>
  <c r="G398" i="22" s="1"/>
  <c r="E431" i="22"/>
  <c r="G303" i="22"/>
  <c r="G343" i="22"/>
  <c r="E434" i="22"/>
  <c r="F422" i="22"/>
  <c r="E420" i="22"/>
  <c r="F314" i="22"/>
  <c r="F408" i="22"/>
  <c r="G408" i="22" s="1"/>
  <c r="H420" i="22"/>
  <c r="F311" i="22"/>
  <c r="G508" i="22" s="1"/>
  <c r="F315" i="22"/>
  <c r="I408" i="22"/>
  <c r="L408" i="22" s="1"/>
  <c r="M408" i="22" s="1"/>
  <c r="E445" i="22"/>
  <c r="H328" i="22"/>
  <c r="F433" i="22"/>
  <c r="F482" i="22"/>
  <c r="F495" i="22" s="1"/>
  <c r="G495" i="22" s="1"/>
  <c r="L343" i="22"/>
  <c r="H358" i="22"/>
  <c r="F435" i="22"/>
  <c r="G435" i="22" s="1"/>
  <c r="E447" i="22"/>
  <c r="F412" i="22"/>
  <c r="G412" i="22" s="1"/>
  <c r="E424" i="22"/>
  <c r="F373" i="22"/>
  <c r="I437" i="22"/>
  <c r="L437" i="22" s="1"/>
  <c r="M437" i="22" s="1"/>
  <c r="H449" i="22"/>
  <c r="H387" i="22"/>
  <c r="K63" i="11"/>
  <c r="J380" i="22"/>
  <c r="J383" i="22" s="1"/>
  <c r="G553" i="22" s="1"/>
  <c r="E460" i="22"/>
  <c r="I373" i="22"/>
  <c r="F448" i="22"/>
  <c r="L392" i="22"/>
  <c r="L398" i="22" s="1"/>
  <c r="L303" i="22"/>
  <c r="F479" i="22"/>
  <c r="F53" i="11"/>
  <c r="F57" i="11" s="1"/>
  <c r="G314" i="22"/>
  <c r="E432" i="22"/>
  <c r="F420" i="22"/>
  <c r="G315" i="22"/>
  <c r="I420" i="22"/>
  <c r="L420" i="22" s="1"/>
  <c r="M420" i="22" s="1"/>
  <c r="H432" i="22"/>
  <c r="G311" i="22"/>
  <c r="G518" i="22" s="1"/>
  <c r="E457" i="22"/>
  <c r="I328" i="22"/>
  <c r="F445" i="22"/>
  <c r="E459" i="22"/>
  <c r="I358" i="22"/>
  <c r="F447" i="22"/>
  <c r="G373" i="22"/>
  <c r="E436" i="22"/>
  <c r="F424" i="22"/>
  <c r="I449" i="22"/>
  <c r="I387" i="22"/>
  <c r="H461" i="22"/>
  <c r="K386" i="22"/>
  <c r="F473" i="22"/>
  <c r="F444" i="22"/>
  <c r="I314" i="22"/>
  <c r="E456" i="22"/>
  <c r="E419" i="22"/>
  <c r="F392" i="22"/>
  <c r="F398" i="22" s="1"/>
  <c r="F407" i="22"/>
  <c r="F303" i="22"/>
  <c r="H419" i="22"/>
  <c r="F304" i="22"/>
  <c r="F393" i="22"/>
  <c r="F399" i="22" s="1"/>
  <c r="I407" i="22"/>
  <c r="F300" i="22"/>
  <c r="G507" i="22" s="1"/>
  <c r="F432" i="22"/>
  <c r="H314" i="22"/>
  <c r="E444" i="22"/>
  <c r="H444" i="22"/>
  <c r="H311" i="22"/>
  <c r="G528" i="22" s="1"/>
  <c r="F538" i="22" s="1"/>
  <c r="H538" i="22" s="1"/>
  <c r="I432" i="22"/>
  <c r="H315" i="22"/>
  <c r="E469" i="22"/>
  <c r="F457" i="22"/>
  <c r="J328" i="22"/>
  <c r="E422" i="22"/>
  <c r="F343" i="22"/>
  <c r="F410" i="22"/>
  <c r="G410" i="22" s="1"/>
  <c r="E471" i="22"/>
  <c r="F459" i="22"/>
  <c r="J358" i="22"/>
  <c r="E448" i="22"/>
  <c r="H373" i="22"/>
  <c r="F436" i="22"/>
  <c r="J387" i="22"/>
  <c r="I461" i="22"/>
  <c r="L461" i="22" s="1"/>
  <c r="M461" i="22" s="1"/>
  <c r="H473" i="22"/>
  <c r="F485" i="22"/>
  <c r="F498" i="22" s="1"/>
  <c r="G498" i="22" s="1"/>
  <c r="L386" i="22"/>
  <c r="G269" i="22"/>
  <c r="I338" i="22"/>
  <c r="I340" i="22" s="1"/>
  <c r="G540" i="22" s="1"/>
  <c r="F550" i="22" s="1"/>
  <c r="G368" i="22"/>
  <c r="H368" i="22"/>
  <c r="H272" i="22"/>
  <c r="G322" i="22"/>
  <c r="G324" i="22" s="1"/>
  <c r="G519" i="22" s="1"/>
  <c r="G353" i="22"/>
  <c r="I368" i="22"/>
  <c r="F353" i="22"/>
  <c r="E272" i="22"/>
  <c r="F269" i="22"/>
  <c r="H271" i="22"/>
  <c r="H322" i="22"/>
  <c r="H324" i="22" s="1"/>
  <c r="G529" i="22" s="1"/>
  <c r="H353" i="22"/>
  <c r="J368" i="22"/>
  <c r="F268" i="22"/>
  <c r="H270" i="22"/>
  <c r="I322" i="22"/>
  <c r="I324" i="22" s="1"/>
  <c r="G539" i="22" s="1"/>
  <c r="F549" i="22" s="1"/>
  <c r="I353" i="22"/>
  <c r="F271" i="22"/>
  <c r="C56" i="18"/>
  <c r="F270" i="22"/>
  <c r="H269" i="22"/>
  <c r="J322" i="22"/>
  <c r="J324" i="22" s="1"/>
  <c r="G549" i="22" s="1"/>
  <c r="F338" i="22"/>
  <c r="J353" i="22"/>
  <c r="G268" i="22"/>
  <c r="F322" i="22"/>
  <c r="F324" i="22" s="1"/>
  <c r="G509" i="22" s="1"/>
  <c r="E270" i="22"/>
  <c r="G271" i="22"/>
  <c r="H268" i="22"/>
  <c r="G338" i="22"/>
  <c r="G340" i="22" s="1"/>
  <c r="G520" i="22" s="1"/>
  <c r="F272" i="22"/>
  <c r="J338" i="22"/>
  <c r="J340" i="22" s="1"/>
  <c r="G550" i="22" s="1"/>
  <c r="E271" i="22"/>
  <c r="G272" i="22"/>
  <c r="E269" i="22"/>
  <c r="E268" i="22"/>
  <c r="D54" i="18"/>
  <c r="G270" i="22"/>
  <c r="H338" i="22"/>
  <c r="H340" i="22" s="1"/>
  <c r="G530" i="22" s="1"/>
  <c r="F368" i="22"/>
  <c r="F60" i="11"/>
  <c r="F64" i="11" s="1"/>
  <c r="G60" i="11"/>
  <c r="G64" i="11" s="1"/>
  <c r="G65" i="11" s="1"/>
  <c r="G53" i="11"/>
  <c r="G57" i="11" s="1"/>
  <c r="H60" i="11"/>
  <c r="H64" i="11" s="1"/>
  <c r="H53" i="11"/>
  <c r="H57" i="11" s="1"/>
  <c r="I64" i="11"/>
  <c r="I65" i="11" s="1"/>
  <c r="J64" i="11"/>
  <c r="K52" i="11"/>
  <c r="J52" i="11"/>
  <c r="I52" i="11"/>
  <c r="H52" i="11"/>
  <c r="G52" i="11"/>
  <c r="F52" i="11"/>
  <c r="E56" i="18"/>
  <c r="I54" i="11"/>
  <c r="J54" i="11"/>
  <c r="J58" i="11" s="1"/>
  <c r="K54" i="11"/>
  <c r="K58" i="11" s="1"/>
  <c r="H54" i="11"/>
  <c r="H58" i="11" s="1"/>
  <c r="F54" i="11"/>
  <c r="G54" i="11"/>
  <c r="D56" i="18"/>
  <c r="H65" i="11"/>
  <c r="B56" i="18"/>
  <c r="F20" i="18"/>
  <c r="F19" i="18"/>
  <c r="F17" i="22" l="1"/>
  <c r="G17" i="22" s="1"/>
  <c r="G436" i="22"/>
  <c r="G457" i="22"/>
  <c r="G432" i="22"/>
  <c r="L449" i="22"/>
  <c r="M449" i="22" s="1"/>
  <c r="G446" i="22"/>
  <c r="G468" i="22"/>
  <c r="G460" i="22"/>
  <c r="G469" i="22"/>
  <c r="G424" i="22"/>
  <c r="F18" i="22"/>
  <c r="G18" i="22" s="1"/>
  <c r="F56" i="11"/>
  <c r="H13" i="22"/>
  <c r="H543" i="22"/>
  <c r="F533" i="22"/>
  <c r="H533" i="22" s="1"/>
  <c r="H467" i="22"/>
  <c r="J304" i="22"/>
  <c r="I455" i="22"/>
  <c r="J300" i="22"/>
  <c r="G547" i="22" s="1"/>
  <c r="J393" i="22"/>
  <c r="J399" i="22" s="1"/>
  <c r="G456" i="22"/>
  <c r="E484" i="22"/>
  <c r="G484" i="22" s="1"/>
  <c r="G472" i="22"/>
  <c r="G56" i="11"/>
  <c r="H14" i="22"/>
  <c r="I303" i="22"/>
  <c r="I392" i="22"/>
  <c r="I398" i="22" s="1"/>
  <c r="E455" i="22"/>
  <c r="F443" i="22"/>
  <c r="H56" i="11"/>
  <c r="H15" i="22"/>
  <c r="H553" i="22"/>
  <c r="F563" i="22"/>
  <c r="G444" i="22"/>
  <c r="G445" i="22"/>
  <c r="G420" i="22"/>
  <c r="G448" i="22"/>
  <c r="G422" i="22"/>
  <c r="G419" i="22"/>
  <c r="E449" i="22"/>
  <c r="H386" i="22"/>
  <c r="F437" i="22"/>
  <c r="F455" i="22"/>
  <c r="E467" i="22"/>
  <c r="J303" i="22"/>
  <c r="J392" i="22"/>
  <c r="J398" i="22" s="1"/>
  <c r="F527" i="22"/>
  <c r="H548" i="22"/>
  <c r="F558" i="22"/>
  <c r="G459" i="22"/>
  <c r="G407" i="22"/>
  <c r="I386" i="22"/>
  <c r="F449" i="22"/>
  <c r="E461" i="22"/>
  <c r="F474" i="22"/>
  <c r="E479" i="22"/>
  <c r="K64" i="11"/>
  <c r="K65" i="11" s="1"/>
  <c r="E425" i="22"/>
  <c r="E426" i="22" s="1"/>
  <c r="F386" i="22"/>
  <c r="F413" i="22"/>
  <c r="G413" i="22" s="1"/>
  <c r="H392" i="22"/>
  <c r="H398" i="22" s="1"/>
  <c r="H303" i="22"/>
  <c r="E443" i="22"/>
  <c r="F431" i="22"/>
  <c r="I56" i="11"/>
  <c r="H16" i="22"/>
  <c r="J56" i="11"/>
  <c r="H17" i="22"/>
  <c r="E485" i="22"/>
  <c r="G485" i="22" s="1"/>
  <c r="F518" i="22"/>
  <c r="H518" i="22" s="1"/>
  <c r="H508" i="22"/>
  <c r="L419" i="22"/>
  <c r="M419" i="22" s="1"/>
  <c r="I426" i="22"/>
  <c r="H438" i="22" s="1"/>
  <c r="F492" i="22"/>
  <c r="F486" i="22"/>
  <c r="H455" i="22"/>
  <c r="I300" i="22"/>
  <c r="G537" i="22" s="1"/>
  <c r="I304" i="22"/>
  <c r="I443" i="22"/>
  <c r="I393" i="22"/>
  <c r="I399" i="22" s="1"/>
  <c r="K56" i="11"/>
  <c r="H18" i="22"/>
  <c r="F517" i="22"/>
  <c r="H517" i="22" s="1"/>
  <c r="H507" i="22"/>
  <c r="F523" i="22"/>
  <c r="H523" i="22" s="1"/>
  <c r="H513" i="22"/>
  <c r="E437" i="22"/>
  <c r="E438" i="22" s="1"/>
  <c r="G386" i="22"/>
  <c r="F425" i="22"/>
  <c r="F426" i="22" s="1"/>
  <c r="I431" i="22"/>
  <c r="H393" i="22"/>
  <c r="H399" i="22" s="1"/>
  <c r="H443" i="22"/>
  <c r="H300" i="22"/>
  <c r="G527" i="22" s="1"/>
  <c r="F537" i="22" s="1"/>
  <c r="H304" i="22"/>
  <c r="J65" i="11"/>
  <c r="L432" i="22"/>
  <c r="M432" i="22" s="1"/>
  <c r="L407" i="22"/>
  <c r="P407" i="22" s="1"/>
  <c r="I414" i="22"/>
  <c r="H426" i="22" s="1"/>
  <c r="G447" i="22"/>
  <c r="F528" i="22"/>
  <c r="H528" i="22" s="1"/>
  <c r="E473" i="22"/>
  <c r="G473" i="22" s="1"/>
  <c r="F461" i="22"/>
  <c r="G461" i="22" s="1"/>
  <c r="J386" i="22"/>
  <c r="G433" i="22"/>
  <c r="L425" i="22"/>
  <c r="G470" i="22"/>
  <c r="E482" i="22"/>
  <c r="G482" i="22" s="1"/>
  <c r="E483" i="22"/>
  <c r="G483" i="22" s="1"/>
  <c r="G471" i="22"/>
  <c r="G480" i="22"/>
  <c r="G434" i="22"/>
  <c r="L444" i="22"/>
  <c r="M444" i="22" s="1"/>
  <c r="H549" i="22"/>
  <c r="F559" i="22"/>
  <c r="F560" i="22"/>
  <c r="H550" i="22"/>
  <c r="F530" i="22"/>
  <c r="H530" i="22" s="1"/>
  <c r="H509" i="22"/>
  <c r="F519" i="22"/>
  <c r="H519" i="22" s="1"/>
  <c r="F540" i="22"/>
  <c r="H540" i="22" s="1"/>
  <c r="F529" i="22"/>
  <c r="H529" i="22" s="1"/>
  <c r="F539" i="22"/>
  <c r="H539" i="22" s="1"/>
  <c r="F340" i="22"/>
  <c r="G510" i="22"/>
  <c r="I370" i="22"/>
  <c r="G542" i="22" s="1"/>
  <c r="F552" i="22" s="1"/>
  <c r="I376" i="22"/>
  <c r="H370" i="22"/>
  <c r="G532" i="22" s="1"/>
  <c r="H376" i="22"/>
  <c r="J370" i="22"/>
  <c r="G552" i="22" s="1"/>
  <c r="J376" i="22"/>
  <c r="G370" i="22"/>
  <c r="G522" i="22" s="1"/>
  <c r="G376" i="22"/>
  <c r="F370" i="22"/>
  <c r="G512" i="22" s="1"/>
  <c r="F522" i="22" s="1"/>
  <c r="F376" i="22"/>
  <c r="H355" i="22"/>
  <c r="G531" i="22" s="1"/>
  <c r="H361" i="22"/>
  <c r="G355" i="22"/>
  <c r="G521" i="22" s="1"/>
  <c r="G361" i="22"/>
  <c r="J355" i="22"/>
  <c r="G551" i="22" s="1"/>
  <c r="J361" i="22"/>
  <c r="I355" i="22"/>
  <c r="G541" i="22" s="1"/>
  <c r="F551" i="22" s="1"/>
  <c r="I361" i="22"/>
  <c r="F355" i="22"/>
  <c r="G511" i="22" s="1"/>
  <c r="F521" i="22" s="1"/>
  <c r="F361" i="22"/>
  <c r="K410" i="22"/>
  <c r="L410" i="22" s="1"/>
  <c r="J422" i="22"/>
  <c r="F346" i="22"/>
  <c r="J460" i="22"/>
  <c r="I395" i="22"/>
  <c r="I401" i="22" s="1"/>
  <c r="K448" i="22"/>
  <c r="K436" i="22"/>
  <c r="H395" i="22"/>
  <c r="H401" i="22" s="1"/>
  <c r="J448" i="22"/>
  <c r="K422" i="22"/>
  <c r="G346" i="22"/>
  <c r="J434" i="22"/>
  <c r="J421" i="22"/>
  <c r="F331" i="22"/>
  <c r="K409" i="22"/>
  <c r="J331" i="22"/>
  <c r="J469" i="22"/>
  <c r="K457" i="22"/>
  <c r="G273" i="22"/>
  <c r="K447" i="22"/>
  <c r="J459" i="22"/>
  <c r="J472" i="22"/>
  <c r="K460" i="22"/>
  <c r="J395" i="22"/>
  <c r="J401" i="22" s="1"/>
  <c r="K423" i="22"/>
  <c r="J435" i="22"/>
  <c r="J436" i="22"/>
  <c r="G395" i="22"/>
  <c r="G401" i="22" s="1"/>
  <c r="K424" i="22"/>
  <c r="E54" i="18"/>
  <c r="H273" i="22"/>
  <c r="B54" i="18"/>
  <c r="E273" i="22"/>
  <c r="K445" i="22"/>
  <c r="J457" i="22"/>
  <c r="I331" i="22"/>
  <c r="J447" i="22"/>
  <c r="K435" i="22"/>
  <c r="K421" i="22"/>
  <c r="G331" i="22"/>
  <c r="J433" i="22"/>
  <c r="K446" i="22"/>
  <c r="I346" i="22"/>
  <c r="J458" i="22"/>
  <c r="J470" i="22"/>
  <c r="K458" i="22"/>
  <c r="J346" i="22"/>
  <c r="J471" i="22"/>
  <c r="K459" i="22"/>
  <c r="J446" i="22"/>
  <c r="H346" i="22"/>
  <c r="K434" i="22"/>
  <c r="I58" i="11"/>
  <c r="K412" i="22"/>
  <c r="L412" i="22" s="1"/>
  <c r="J424" i="22"/>
  <c r="F395" i="22"/>
  <c r="F401" i="22" s="1"/>
  <c r="C54" i="18"/>
  <c r="F273" i="22"/>
  <c r="J445" i="22"/>
  <c r="H331" i="22"/>
  <c r="K433" i="22"/>
  <c r="K411" i="22"/>
  <c r="L411" i="22" s="1"/>
  <c r="J423" i="22"/>
  <c r="O84" i="9"/>
  <c r="O83" i="9"/>
  <c r="L14" i="11" s="1"/>
  <c r="A71" i="9"/>
  <c r="A76" i="9" s="1"/>
  <c r="A80" i="9" s="1"/>
  <c r="H43" i="9"/>
  <c r="H67" i="9" s="1"/>
  <c r="H76" i="9" s="1"/>
  <c r="I43" i="9"/>
  <c r="J43" i="9"/>
  <c r="J67" i="9" s="1"/>
  <c r="J76" i="9" s="1"/>
  <c r="K43" i="9"/>
  <c r="L43" i="9"/>
  <c r="M43" i="9"/>
  <c r="M68" i="9" s="1"/>
  <c r="M77" i="9" s="1"/>
  <c r="N43" i="9"/>
  <c r="N39" i="9"/>
  <c r="N40" i="9"/>
  <c r="N41" i="9"/>
  <c r="N42" i="9"/>
  <c r="M39" i="9"/>
  <c r="M40" i="9"/>
  <c r="M41" i="9"/>
  <c r="M42" i="9"/>
  <c r="M60" i="9" s="1"/>
  <c r="L39" i="9"/>
  <c r="L40" i="9"/>
  <c r="L41" i="9"/>
  <c r="L42" i="9"/>
  <c r="L59" i="9" s="1"/>
  <c r="K39" i="9"/>
  <c r="K40" i="9"/>
  <c r="K41" i="9"/>
  <c r="K42" i="9"/>
  <c r="J39" i="9"/>
  <c r="J40" i="9"/>
  <c r="J41" i="9"/>
  <c r="J42" i="9"/>
  <c r="J59" i="9" s="1"/>
  <c r="I39" i="9"/>
  <c r="I40" i="9"/>
  <c r="I41" i="9"/>
  <c r="I42" i="9"/>
  <c r="H39" i="9"/>
  <c r="H40" i="9"/>
  <c r="H41" i="9"/>
  <c r="H42" i="9"/>
  <c r="H59" i="9" s="1"/>
  <c r="H24" i="17"/>
  <c r="G25" i="17"/>
  <c r="G24" i="17"/>
  <c r="F25" i="17"/>
  <c r="F24" i="17"/>
  <c r="E25" i="17"/>
  <c r="E24" i="17"/>
  <c r="D25" i="17"/>
  <c r="D24" i="17"/>
  <c r="C25" i="17"/>
  <c r="C24" i="17"/>
  <c r="B25" i="17"/>
  <c r="B24" i="17"/>
  <c r="C55" i="17"/>
  <c r="D55" i="17"/>
  <c r="E55" i="17"/>
  <c r="F55" i="17"/>
  <c r="G55" i="17"/>
  <c r="H55" i="17"/>
  <c r="B55" i="17"/>
  <c r="C54" i="17"/>
  <c r="D54" i="17"/>
  <c r="E54" i="17"/>
  <c r="F54" i="17"/>
  <c r="G54" i="17"/>
  <c r="H54" i="17"/>
  <c r="B54" i="17"/>
  <c r="H45" i="17"/>
  <c r="H46" i="17"/>
  <c r="H47" i="17"/>
  <c r="H48" i="17"/>
  <c r="H49" i="17"/>
  <c r="G45" i="17"/>
  <c r="G46" i="17"/>
  <c r="G47" i="17"/>
  <c r="G48" i="17"/>
  <c r="G49" i="17"/>
  <c r="D45" i="17"/>
  <c r="D46" i="17"/>
  <c r="D47" i="17"/>
  <c r="D48" i="17"/>
  <c r="D49" i="17"/>
  <c r="C45" i="17"/>
  <c r="C46" i="17"/>
  <c r="C47" i="17"/>
  <c r="C48" i="17"/>
  <c r="C49" i="17"/>
  <c r="B45" i="17"/>
  <c r="B46" i="17"/>
  <c r="B47" i="17"/>
  <c r="B48" i="17"/>
  <c r="B49" i="17"/>
  <c r="I18" i="22" l="1"/>
  <c r="J18" i="22" s="1"/>
  <c r="I16" i="22"/>
  <c r="J16" i="22" s="1"/>
  <c r="I17" i="22"/>
  <c r="J17" i="22" s="1"/>
  <c r="E486" i="22"/>
  <c r="I14" i="22"/>
  <c r="J14" i="22" s="1"/>
  <c r="G449" i="22"/>
  <c r="E462" i="22"/>
  <c r="G479" i="22"/>
  <c r="G486" i="22" s="1"/>
  <c r="F414" i="22"/>
  <c r="G414" i="22"/>
  <c r="F499" i="22"/>
  <c r="G492" i="22"/>
  <c r="G499" i="22" s="1"/>
  <c r="E474" i="22"/>
  <c r="L443" i="22"/>
  <c r="M443" i="22" s="1"/>
  <c r="I450" i="22"/>
  <c r="H462" i="22" s="1"/>
  <c r="F438" i="22"/>
  <c r="G431" i="22"/>
  <c r="F462" i="22"/>
  <c r="G455" i="22"/>
  <c r="G462" i="22" s="1"/>
  <c r="I15" i="22"/>
  <c r="J15" i="22" s="1"/>
  <c r="L431" i="22"/>
  <c r="M431" i="22" s="1"/>
  <c r="I438" i="22"/>
  <c r="H450" i="22" s="1"/>
  <c r="G437" i="22"/>
  <c r="F557" i="22"/>
  <c r="G425" i="22"/>
  <c r="G426" i="22" s="1"/>
  <c r="F547" i="22"/>
  <c r="H547" i="22" s="1"/>
  <c r="H537" i="22"/>
  <c r="E450" i="22"/>
  <c r="G467" i="22"/>
  <c r="G474" i="22" s="1"/>
  <c r="H527" i="22"/>
  <c r="G443" i="22"/>
  <c r="F450" i="22"/>
  <c r="L455" i="22"/>
  <c r="M455" i="22" s="1"/>
  <c r="I462" i="22"/>
  <c r="H474" i="22" s="1"/>
  <c r="H551" i="22"/>
  <c r="F561" i="22"/>
  <c r="H552" i="22"/>
  <c r="F562" i="22"/>
  <c r="H512" i="22"/>
  <c r="H511" i="22"/>
  <c r="H522" i="22"/>
  <c r="F532" i="22"/>
  <c r="H532" i="22" s="1"/>
  <c r="F531" i="22"/>
  <c r="H531" i="22" s="1"/>
  <c r="H521" i="22"/>
  <c r="F541" i="22"/>
  <c r="H541" i="22" s="1"/>
  <c r="F542" i="22"/>
  <c r="H542" i="22" s="1"/>
  <c r="H510" i="22"/>
  <c r="F520" i="22"/>
  <c r="H520" i="22" s="1"/>
  <c r="L434" i="22"/>
  <c r="M434" i="22" s="1"/>
  <c r="L460" i="22"/>
  <c r="M460" i="22" s="1"/>
  <c r="L436" i="22"/>
  <c r="M436" i="22" s="1"/>
  <c r="L423" i="22"/>
  <c r="L435" i="22"/>
  <c r="L421" i="22"/>
  <c r="M421" i="22" s="1"/>
  <c r="J438" i="22"/>
  <c r="L458" i="22"/>
  <c r="M458" i="22" s="1"/>
  <c r="J426" i="22"/>
  <c r="K426" i="22"/>
  <c r="L424" i="22"/>
  <c r="M424" i="22" s="1"/>
  <c r="K450" i="22"/>
  <c r="L448" i="22"/>
  <c r="M448" i="22" s="1"/>
  <c r="L457" i="22"/>
  <c r="M457" i="22" s="1"/>
  <c r="K462" i="22"/>
  <c r="L459" i="22"/>
  <c r="M459" i="22" s="1"/>
  <c r="L446" i="22"/>
  <c r="M446" i="22" s="1"/>
  <c r="J462" i="22"/>
  <c r="J474" i="22"/>
  <c r="L445" i="22"/>
  <c r="M445" i="22" s="1"/>
  <c r="J450" i="22"/>
  <c r="L409" i="22"/>
  <c r="M409" i="22" s="1"/>
  <c r="K414" i="22"/>
  <c r="L422" i="22"/>
  <c r="M422" i="22" s="1"/>
  <c r="K438" i="22"/>
  <c r="L433" i="22"/>
  <c r="M433" i="22" s="1"/>
  <c r="L447" i="22"/>
  <c r="M447" i="22" s="1"/>
  <c r="S412" i="22"/>
  <c r="M410" i="22"/>
  <c r="M14" i="11"/>
  <c r="P71" i="9"/>
  <c r="I60" i="9"/>
  <c r="I59" i="9"/>
  <c r="L67" i="9"/>
  <c r="L68" i="9"/>
  <c r="K67" i="9"/>
  <c r="K68" i="9"/>
  <c r="I67" i="9"/>
  <c r="I57" i="9"/>
  <c r="K57" i="9"/>
  <c r="M57" i="9"/>
  <c r="M67" i="9"/>
  <c r="J68" i="9"/>
  <c r="N67" i="9"/>
  <c r="H25" i="17"/>
  <c r="N68" i="9" s="1"/>
  <c r="H57" i="9"/>
  <c r="J57" i="9"/>
  <c r="N57" i="9"/>
  <c r="K59" i="9"/>
  <c r="L57" i="9"/>
  <c r="K58" i="9"/>
  <c r="L60" i="9"/>
  <c r="N59" i="9"/>
  <c r="J60" i="9"/>
  <c r="H58" i="9"/>
  <c r="J58" i="9"/>
  <c r="L58" i="9"/>
  <c r="N58" i="9"/>
  <c r="I58" i="9"/>
  <c r="M58" i="9"/>
  <c r="N60" i="9"/>
  <c r="K60" i="9"/>
  <c r="H60" i="9"/>
  <c r="H64" i="9" s="1"/>
  <c r="M59" i="9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J20" i="17"/>
  <c r="J21" i="17"/>
  <c r="J22" i="17"/>
  <c r="J23" i="17"/>
  <c r="J24" i="17"/>
  <c r="J25" i="17"/>
  <c r="B21" i="9"/>
  <c r="B22" i="9"/>
  <c r="G450" i="22" l="1"/>
  <c r="G438" i="22"/>
  <c r="K290" i="22"/>
  <c r="M76" i="9"/>
  <c r="I76" i="9"/>
  <c r="N77" i="9"/>
  <c r="L77" i="9"/>
  <c r="N76" i="9"/>
  <c r="L76" i="9"/>
  <c r="J77" i="9"/>
  <c r="K76" i="9"/>
  <c r="K77" i="9"/>
  <c r="I64" i="9"/>
  <c r="G67" i="9"/>
  <c r="J64" i="9"/>
  <c r="I68" i="9"/>
  <c r="M64" i="9"/>
  <c r="L64" i="9"/>
  <c r="K64" i="9"/>
  <c r="N64" i="9"/>
  <c r="O76" i="9" l="1"/>
  <c r="I77" i="9"/>
  <c r="O20" i="9" l="1"/>
  <c r="O19" i="9" l="1"/>
  <c r="O18" i="9" l="1"/>
  <c r="O17" i="9" l="1"/>
  <c r="O16" i="9"/>
  <c r="G16" i="9"/>
  <c r="G17" i="9"/>
  <c r="G18" i="9"/>
  <c r="G19" i="9"/>
  <c r="G20" i="9"/>
  <c r="A17" i="9" l="1"/>
  <c r="A18" i="9"/>
  <c r="A19" i="9"/>
  <c r="A20" i="9"/>
  <c r="A21" i="9"/>
  <c r="A22" i="9"/>
  <c r="AF19" i="21" l="1"/>
  <c r="AF20" i="21"/>
  <c r="AF21" i="21"/>
  <c r="AF22" i="21"/>
  <c r="AF27" i="21"/>
  <c r="AF28" i="21"/>
  <c r="AF29" i="21"/>
  <c r="AF18" i="21"/>
  <c r="AE19" i="21"/>
  <c r="AE20" i="21"/>
  <c r="AE21" i="21"/>
  <c r="AE27" i="21"/>
  <c r="AE28" i="21"/>
  <c r="AE29" i="21"/>
  <c r="AE18" i="21"/>
  <c r="AD19" i="21"/>
  <c r="AD20" i="21"/>
  <c r="AD21" i="21"/>
  <c r="AD27" i="21"/>
  <c r="AD28" i="21"/>
  <c r="AD29" i="21"/>
  <c r="AD18" i="21"/>
  <c r="AC19" i="21"/>
  <c r="AC20" i="21"/>
  <c r="AC21" i="21"/>
  <c r="AC28" i="21"/>
  <c r="AC29" i="21"/>
  <c r="AC18" i="21"/>
  <c r="B183" i="7"/>
  <c r="B182" i="7"/>
  <c r="B181" i="7"/>
  <c r="B180" i="7"/>
  <c r="J4" i="11" l="1"/>
  <c r="I283" i="22" s="1"/>
  <c r="B19" i="9"/>
  <c r="B18" i="9"/>
  <c r="I4" i="11"/>
  <c r="H283" i="22" s="1"/>
  <c r="H4" i="11"/>
  <c r="G283" i="22" s="1"/>
  <c r="B17" i="9"/>
  <c r="K4" i="11"/>
  <c r="J283" i="22" s="1"/>
  <c r="B20" i="9"/>
  <c r="F20" i="9" l="1"/>
  <c r="J74" i="25" s="1"/>
  <c r="E119" i="22"/>
  <c r="F17" i="9"/>
  <c r="J71" i="25" s="1"/>
  <c r="E116" i="22"/>
  <c r="F19" i="9"/>
  <c r="J73" i="25" s="1"/>
  <c r="E118" i="22"/>
  <c r="F18" i="9"/>
  <c r="J72" i="25" s="1"/>
  <c r="E117" i="22"/>
  <c r="H136" i="7"/>
  <c r="H135" i="7"/>
  <c r="H134" i="7"/>
  <c r="AF26" i="21"/>
  <c r="AF25" i="21"/>
  <c r="H132" i="7"/>
  <c r="AF24" i="21"/>
  <c r="AF23" i="21"/>
  <c r="H129" i="7"/>
  <c r="H128" i="7"/>
  <c r="H127" i="7"/>
  <c r="H126" i="7"/>
  <c r="H125" i="7"/>
  <c r="L72" i="25" l="1"/>
  <c r="Y18" i="9"/>
  <c r="L73" i="25"/>
  <c r="Y19" i="9"/>
  <c r="Y17" i="9"/>
  <c r="L71" i="25"/>
  <c r="F24" i="9"/>
  <c r="L74" i="25"/>
  <c r="Y20" i="9"/>
  <c r="H133" i="7"/>
  <c r="H130" i="7"/>
  <c r="L130" i="7" s="1"/>
  <c r="M130" i="7" s="1"/>
  <c r="H131" i="7"/>
  <c r="AF11" i="21"/>
  <c r="AF9" i="21"/>
  <c r="L131" i="7"/>
  <c r="M131" i="7" s="1"/>
  <c r="AF8" i="21"/>
  <c r="AF10" i="21"/>
  <c r="L132" i="7"/>
  <c r="M132" i="7" s="1"/>
  <c r="L126" i="7"/>
  <c r="M126" i="7" s="1"/>
  <c r="AF4" i="21"/>
  <c r="L127" i="7"/>
  <c r="M127" i="7" s="1"/>
  <c r="AF5" i="21"/>
  <c r="AF3" i="21"/>
  <c r="L128" i="7"/>
  <c r="M128" i="7" s="1"/>
  <c r="AF6" i="21"/>
  <c r="L129" i="7"/>
  <c r="M129" i="7" s="1"/>
  <c r="AF7" i="21"/>
  <c r="L134" i="7"/>
  <c r="M134" i="7" s="1"/>
  <c r="AF12" i="21"/>
  <c r="L135" i="7"/>
  <c r="M135" i="7" s="1"/>
  <c r="AF13" i="21"/>
  <c r="AF30" i="21"/>
  <c r="L136" i="7"/>
  <c r="M136" i="7" s="1"/>
  <c r="AF14" i="21"/>
  <c r="L133" i="7"/>
  <c r="M133" i="7" s="1"/>
  <c r="H124" i="7"/>
  <c r="H123" i="7"/>
  <c r="H122" i="7"/>
  <c r="AE26" i="21"/>
  <c r="AE25" i="21"/>
  <c r="AE24" i="21"/>
  <c r="AE23" i="21"/>
  <c r="AE22" i="21"/>
  <c r="H116" i="7"/>
  <c r="H115" i="7"/>
  <c r="H114" i="7"/>
  <c r="H113" i="7"/>
  <c r="H119" i="7" l="1"/>
  <c r="Y40" i="9"/>
  <c r="Y42" i="9"/>
  <c r="Y41" i="9"/>
  <c r="Y43" i="9"/>
  <c r="H120" i="7"/>
  <c r="H118" i="7"/>
  <c r="L118" i="7" s="1"/>
  <c r="M118" i="7" s="1"/>
  <c r="H117" i="7"/>
  <c r="L117" i="7" s="1"/>
  <c r="M117" i="7" s="1"/>
  <c r="H121" i="7"/>
  <c r="AE7" i="21"/>
  <c r="AE11" i="21"/>
  <c r="L121" i="7"/>
  <c r="M121" i="7" s="1"/>
  <c r="AE8" i="21"/>
  <c r="AE9" i="21"/>
  <c r="L119" i="7"/>
  <c r="M119" i="7" s="1"/>
  <c r="AE10" i="21"/>
  <c r="L120" i="7"/>
  <c r="M120" i="7" s="1"/>
  <c r="L122" i="7"/>
  <c r="M122" i="7" s="1"/>
  <c r="AE12" i="21"/>
  <c r="L123" i="7"/>
  <c r="M123" i="7" s="1"/>
  <c r="AE13" i="21"/>
  <c r="AE30" i="21"/>
  <c r="AE3" i="21"/>
  <c r="L124" i="7"/>
  <c r="M124" i="7" s="1"/>
  <c r="AE14" i="21"/>
  <c r="AF15" i="21"/>
  <c r="L125" i="7"/>
  <c r="M125" i="7" s="1"/>
  <c r="H183" i="7"/>
  <c r="L114" i="7"/>
  <c r="M114" i="7" s="1"/>
  <c r="AE4" i="21"/>
  <c r="L115" i="7"/>
  <c r="M115" i="7" s="1"/>
  <c r="AE5" i="21"/>
  <c r="L116" i="7"/>
  <c r="M116" i="7" s="1"/>
  <c r="AE6" i="21"/>
  <c r="H112" i="7"/>
  <c r="H111" i="7"/>
  <c r="H110" i="7"/>
  <c r="AD26" i="21"/>
  <c r="AD25" i="21"/>
  <c r="H108" i="7"/>
  <c r="AD24" i="21"/>
  <c r="AD23" i="21"/>
  <c r="AD22" i="21"/>
  <c r="H104" i="7"/>
  <c r="H103" i="7"/>
  <c r="H102" i="7"/>
  <c r="H101" i="7"/>
  <c r="W43" i="9" l="1"/>
  <c r="J367" i="22"/>
  <c r="J375" i="22" s="1"/>
  <c r="J369" i="22"/>
  <c r="H299" i="22"/>
  <c r="R41" i="9"/>
  <c r="G321" i="22"/>
  <c r="G330" i="22" s="1"/>
  <c r="T40" i="9"/>
  <c r="J299" i="22"/>
  <c r="R43" i="9"/>
  <c r="X42" i="9"/>
  <c r="I382" i="22"/>
  <c r="G310" i="22"/>
  <c r="S40" i="9"/>
  <c r="X41" i="9"/>
  <c r="H382" i="22"/>
  <c r="S42" i="9"/>
  <c r="I310" i="22"/>
  <c r="G299" i="22"/>
  <c r="R40" i="9"/>
  <c r="J354" i="22"/>
  <c r="V43" i="9"/>
  <c r="J352" i="22"/>
  <c r="J360" i="22" s="1"/>
  <c r="S41" i="9"/>
  <c r="H310" i="22"/>
  <c r="R42" i="9"/>
  <c r="I299" i="22"/>
  <c r="G337" i="22"/>
  <c r="G345" i="22" s="1"/>
  <c r="G339" i="22"/>
  <c r="U40" i="9"/>
  <c r="X43" i="9"/>
  <c r="J382" i="22"/>
  <c r="H367" i="22"/>
  <c r="H375" i="22" s="1"/>
  <c r="H369" i="22"/>
  <c r="W41" i="9"/>
  <c r="I369" i="22"/>
  <c r="W42" i="9"/>
  <c r="I367" i="22"/>
  <c r="I375" i="22" s="1"/>
  <c r="U43" i="9"/>
  <c r="J337" i="22"/>
  <c r="J345" i="22" s="1"/>
  <c r="J339" i="22"/>
  <c r="H321" i="22"/>
  <c r="H330" i="22" s="1"/>
  <c r="T41" i="9"/>
  <c r="I352" i="22"/>
  <c r="I360" i="22" s="1"/>
  <c r="I354" i="22"/>
  <c r="V42" i="9"/>
  <c r="G382" i="22"/>
  <c r="X40" i="9"/>
  <c r="J321" i="22"/>
  <c r="J330" i="22" s="1"/>
  <c r="T43" i="9"/>
  <c r="H352" i="22"/>
  <c r="H360" i="22" s="1"/>
  <c r="H354" i="22"/>
  <c r="V41" i="9"/>
  <c r="I339" i="22"/>
  <c r="I337" i="22"/>
  <c r="I345" i="22" s="1"/>
  <c r="U42" i="9"/>
  <c r="G367" i="22"/>
  <c r="G375" i="22" s="1"/>
  <c r="W40" i="9"/>
  <c r="G369" i="22"/>
  <c r="J310" i="22"/>
  <c r="S43" i="9"/>
  <c r="H337" i="22"/>
  <c r="H345" i="22" s="1"/>
  <c r="H339" i="22"/>
  <c r="U41" i="9"/>
  <c r="T42" i="9"/>
  <c r="I321" i="22"/>
  <c r="I330" i="22" s="1"/>
  <c r="G352" i="22"/>
  <c r="G360" i="22" s="1"/>
  <c r="G354" i="22"/>
  <c r="V40" i="9"/>
  <c r="H106" i="7"/>
  <c r="H105" i="7"/>
  <c r="L105" i="7" s="1"/>
  <c r="M105" i="7" s="1"/>
  <c r="H109" i="7"/>
  <c r="H107" i="7"/>
  <c r="L107" i="7" s="1"/>
  <c r="M107" i="7" s="1"/>
  <c r="L106" i="7"/>
  <c r="M106" i="7" s="1"/>
  <c r="AD9" i="21"/>
  <c r="AD10" i="21"/>
  <c r="L108" i="7"/>
  <c r="M108" i="7" s="1"/>
  <c r="AD7" i="21"/>
  <c r="AD11" i="21"/>
  <c r="L109" i="7"/>
  <c r="M109" i="7" s="1"/>
  <c r="L102" i="7"/>
  <c r="M102" i="7" s="1"/>
  <c r="AD4" i="21"/>
  <c r="AE15" i="21"/>
  <c r="L103" i="7"/>
  <c r="M103" i="7" s="1"/>
  <c r="AD5" i="21"/>
  <c r="L113" i="7"/>
  <c r="M113" i="7" s="1"/>
  <c r="H182" i="7"/>
  <c r="AD3" i="21"/>
  <c r="L112" i="7"/>
  <c r="M112" i="7" s="1"/>
  <c r="AD14" i="21"/>
  <c r="L104" i="7"/>
  <c r="M104" i="7" s="1"/>
  <c r="AD6" i="21"/>
  <c r="AD30" i="21"/>
  <c r="AD8" i="21"/>
  <c r="L110" i="7"/>
  <c r="M110" i="7" s="1"/>
  <c r="AD12" i="21"/>
  <c r="K5" i="11"/>
  <c r="C20" i="9"/>
  <c r="L183" i="7"/>
  <c r="M183" i="7" s="1"/>
  <c r="L111" i="7"/>
  <c r="M111" i="7" s="1"/>
  <c r="AD13" i="21"/>
  <c r="H100" i="7"/>
  <c r="H99" i="7"/>
  <c r="AC27" i="21"/>
  <c r="AC26" i="21"/>
  <c r="H97" i="7"/>
  <c r="AC25" i="21"/>
  <c r="AC24" i="21"/>
  <c r="AC23" i="21"/>
  <c r="AC22" i="21"/>
  <c r="H93" i="7"/>
  <c r="H92" i="7"/>
  <c r="H91" i="7"/>
  <c r="H90" i="7"/>
  <c r="H89" i="7"/>
  <c r="I347" i="22" l="1"/>
  <c r="I341" i="22"/>
  <c r="J540" i="22" s="1"/>
  <c r="G388" i="22"/>
  <c r="G384" i="22"/>
  <c r="J523" i="22" s="1"/>
  <c r="I533" i="22" s="1"/>
  <c r="J388" i="22"/>
  <c r="J384" i="22"/>
  <c r="J553" i="22" s="1"/>
  <c r="H388" i="22"/>
  <c r="H384" i="22"/>
  <c r="J533" i="22" s="1"/>
  <c r="I543" i="22" s="1"/>
  <c r="G362" i="22"/>
  <c r="G356" i="22"/>
  <c r="J521" i="22" s="1"/>
  <c r="I531" i="22" s="1"/>
  <c r="J316" i="22"/>
  <c r="J312" i="22"/>
  <c r="J548" i="22" s="1"/>
  <c r="H362" i="22"/>
  <c r="H356" i="22"/>
  <c r="J531" i="22" s="1"/>
  <c r="I362" i="22"/>
  <c r="I356" i="22"/>
  <c r="J541" i="22" s="1"/>
  <c r="G323" i="22"/>
  <c r="G396" i="22" s="1"/>
  <c r="G402" i="22" s="1"/>
  <c r="R19" i="18"/>
  <c r="G377" i="22"/>
  <c r="G371" i="22"/>
  <c r="J522" i="22" s="1"/>
  <c r="G347" i="22"/>
  <c r="G341" i="22"/>
  <c r="J520" i="22" s="1"/>
  <c r="J362" i="22"/>
  <c r="J356" i="22"/>
  <c r="J551" i="22" s="1"/>
  <c r="G316" i="22"/>
  <c r="G312" i="22"/>
  <c r="J518" i="22" s="1"/>
  <c r="I323" i="22"/>
  <c r="R21" i="18"/>
  <c r="H323" i="22"/>
  <c r="R20" i="18"/>
  <c r="I396" i="22"/>
  <c r="I402" i="22" s="1"/>
  <c r="I377" i="22"/>
  <c r="I371" i="22"/>
  <c r="J542" i="22" s="1"/>
  <c r="I552" i="22" s="1"/>
  <c r="I388" i="22"/>
  <c r="I384" i="22"/>
  <c r="J543" i="22" s="1"/>
  <c r="H394" i="22"/>
  <c r="H400" i="22" s="1"/>
  <c r="H305" i="22"/>
  <c r="H301" i="22"/>
  <c r="J527" i="22" s="1"/>
  <c r="J323" i="22"/>
  <c r="R22" i="18"/>
  <c r="I394" i="22"/>
  <c r="I400" i="22" s="1"/>
  <c r="I305" i="22"/>
  <c r="I301" i="22"/>
  <c r="J537" i="22" s="1"/>
  <c r="G394" i="22"/>
  <c r="G400" i="22" s="1"/>
  <c r="G305" i="22"/>
  <c r="G301" i="22"/>
  <c r="J517" i="22" s="1"/>
  <c r="I527" i="22" s="1"/>
  <c r="J377" i="22"/>
  <c r="J371" i="22"/>
  <c r="J552" i="22" s="1"/>
  <c r="H377" i="22"/>
  <c r="H371" i="22"/>
  <c r="J532" i="22" s="1"/>
  <c r="I542" i="22" s="1"/>
  <c r="I316" i="22"/>
  <c r="I312" i="22"/>
  <c r="J538" i="22" s="1"/>
  <c r="I548" i="22" s="1"/>
  <c r="H347" i="22"/>
  <c r="H341" i="22"/>
  <c r="J530" i="22" s="1"/>
  <c r="I540" i="22" s="1"/>
  <c r="J347" i="22"/>
  <c r="J341" i="22"/>
  <c r="J550" i="22" s="1"/>
  <c r="H316" i="22"/>
  <c r="H312" i="22"/>
  <c r="J528" i="22" s="1"/>
  <c r="I538" i="22" s="1"/>
  <c r="J394" i="22"/>
  <c r="J400" i="22" s="1"/>
  <c r="J305" i="22"/>
  <c r="J301" i="22"/>
  <c r="J547" i="22" s="1"/>
  <c r="D20" i="9"/>
  <c r="E20" i="9" s="1"/>
  <c r="F119" i="22"/>
  <c r="G119" i="22" s="1"/>
  <c r="K6" i="11"/>
  <c r="J284" i="22"/>
  <c r="J285" i="22" s="1"/>
  <c r="H96" i="7"/>
  <c r="L96" i="7" s="1"/>
  <c r="M96" i="7" s="1"/>
  <c r="H94" i="7"/>
  <c r="L94" i="7" s="1"/>
  <c r="M94" i="7" s="1"/>
  <c r="H98" i="7"/>
  <c r="L98" i="7" s="1"/>
  <c r="M98" i="7" s="1"/>
  <c r="H95" i="7"/>
  <c r="L95" i="7" s="1"/>
  <c r="M95" i="7" s="1"/>
  <c r="AC7" i="21"/>
  <c r="AC11" i="21"/>
  <c r="L97" i="7"/>
  <c r="M97" i="7" s="1"/>
  <c r="AC30" i="21"/>
  <c r="AC8" i="21"/>
  <c r="AC12" i="21"/>
  <c r="AC9" i="21"/>
  <c r="L101" i="7"/>
  <c r="M101" i="7" s="1"/>
  <c r="H181" i="7"/>
  <c r="J5" i="11"/>
  <c r="C19" i="9"/>
  <c r="L182" i="7"/>
  <c r="M182" i="7" s="1"/>
  <c r="L99" i="7"/>
  <c r="M99" i="7" s="1"/>
  <c r="AC13" i="21"/>
  <c r="AC3" i="21"/>
  <c r="L100" i="7"/>
  <c r="M100" i="7" s="1"/>
  <c r="AC14" i="21"/>
  <c r="L90" i="7"/>
  <c r="M90" i="7" s="1"/>
  <c r="AC4" i="21"/>
  <c r="AC10" i="21"/>
  <c r="L92" i="7"/>
  <c r="M92" i="7" s="1"/>
  <c r="AC6" i="21"/>
  <c r="L91" i="7"/>
  <c r="M91" i="7" s="1"/>
  <c r="AC5" i="21"/>
  <c r="AD15" i="21"/>
  <c r="L93" i="7"/>
  <c r="M93" i="7" s="1"/>
  <c r="AB29" i="21"/>
  <c r="AB28" i="21"/>
  <c r="AB27" i="21"/>
  <c r="AB26" i="21"/>
  <c r="AB25" i="21"/>
  <c r="AB24" i="21"/>
  <c r="AB23" i="21"/>
  <c r="AB22" i="21"/>
  <c r="AB21" i="21"/>
  <c r="AB20" i="21"/>
  <c r="AB19" i="21"/>
  <c r="AB18" i="21"/>
  <c r="K542" i="22" l="1"/>
  <c r="H78" i="7"/>
  <c r="H82" i="7"/>
  <c r="H86" i="7"/>
  <c r="I557" i="22"/>
  <c r="J332" i="22"/>
  <c r="J325" i="22"/>
  <c r="J549" i="22" s="1"/>
  <c r="I551" i="22"/>
  <c r="K551" i="22" s="1"/>
  <c r="H332" i="22"/>
  <c r="H325" i="22"/>
  <c r="J529" i="22" s="1"/>
  <c r="I539" i="22" s="1"/>
  <c r="I541" i="22"/>
  <c r="K541" i="22" s="1"/>
  <c r="K531" i="22"/>
  <c r="I563" i="22"/>
  <c r="K553" i="22"/>
  <c r="K538" i="22"/>
  <c r="H396" i="22"/>
  <c r="H402" i="22" s="1"/>
  <c r="I547" i="22"/>
  <c r="K547" i="22" s="1"/>
  <c r="I553" i="22"/>
  <c r="K543" i="22"/>
  <c r="I332" i="22"/>
  <c r="I325" i="22"/>
  <c r="J539" i="22" s="1"/>
  <c r="I549" i="22" s="1"/>
  <c r="I532" i="22"/>
  <c r="K532" i="22" s="1"/>
  <c r="K548" i="22"/>
  <c r="I558" i="22"/>
  <c r="K533" i="22"/>
  <c r="I560" i="22"/>
  <c r="I528" i="22"/>
  <c r="K528" i="22" s="1"/>
  <c r="I537" i="22"/>
  <c r="K537" i="22" s="1"/>
  <c r="K527" i="22"/>
  <c r="I562" i="22"/>
  <c r="K552" i="22"/>
  <c r="I550" i="22"/>
  <c r="K550" i="22" s="1"/>
  <c r="K540" i="22"/>
  <c r="I530" i="22"/>
  <c r="K530" i="22" s="1"/>
  <c r="J396" i="22"/>
  <c r="J402" i="22" s="1"/>
  <c r="I561" i="22"/>
  <c r="G332" i="22"/>
  <c r="G325" i="22"/>
  <c r="J519" i="22" s="1"/>
  <c r="I529" i="22" s="1"/>
  <c r="K529" i="22" s="1"/>
  <c r="D19" i="9"/>
  <c r="E19" i="9" s="1"/>
  <c r="F118" i="22"/>
  <c r="G118" i="22" s="1"/>
  <c r="N407" i="22"/>
  <c r="J6" i="11"/>
  <c r="I284" i="22"/>
  <c r="I285" i="22" s="1"/>
  <c r="H79" i="7"/>
  <c r="L79" i="7" s="1"/>
  <c r="M79" i="7" s="1"/>
  <c r="H83" i="7"/>
  <c r="H87" i="7"/>
  <c r="L87" i="7" s="1"/>
  <c r="M87" i="7" s="1"/>
  <c r="H80" i="7"/>
  <c r="L80" i="7" s="1"/>
  <c r="M80" i="7" s="1"/>
  <c r="H84" i="7"/>
  <c r="L84" i="7" s="1"/>
  <c r="M84" i="7" s="1"/>
  <c r="H88" i="7"/>
  <c r="L88" i="7" s="1"/>
  <c r="M88" i="7" s="1"/>
  <c r="H77" i="7"/>
  <c r="L77" i="7" s="1"/>
  <c r="H81" i="7"/>
  <c r="L81" i="7" s="1"/>
  <c r="M81" i="7" s="1"/>
  <c r="H85" i="7"/>
  <c r="L85" i="7" s="1"/>
  <c r="M85" i="7" s="1"/>
  <c r="AB30" i="21"/>
  <c r="AB5" i="21"/>
  <c r="AB9" i="21"/>
  <c r="L83" i="7"/>
  <c r="M83" i="7" s="1"/>
  <c r="AB13" i="21"/>
  <c r="AB3" i="21"/>
  <c r="AB7" i="21"/>
  <c r="AB11" i="21"/>
  <c r="L78" i="7"/>
  <c r="M78" i="7" s="1"/>
  <c r="AB12" i="21"/>
  <c r="L86" i="7"/>
  <c r="M86" i="7" s="1"/>
  <c r="L89" i="7"/>
  <c r="M89" i="7" s="1"/>
  <c r="H180" i="7"/>
  <c r="AB4" i="21"/>
  <c r="L82" i="7"/>
  <c r="M82" i="7" s="1"/>
  <c r="AB8" i="21"/>
  <c r="AB6" i="21"/>
  <c r="AB14" i="21"/>
  <c r="I5" i="11"/>
  <c r="C18" i="9"/>
  <c r="L181" i="7"/>
  <c r="M181" i="7" s="1"/>
  <c r="AB10" i="21"/>
  <c r="AC15" i="21"/>
  <c r="D150" i="7"/>
  <c r="AA28" i="21"/>
  <c r="D147" i="7"/>
  <c r="D146" i="7"/>
  <c r="D145" i="7"/>
  <c r="D144" i="7"/>
  <c r="D143" i="7"/>
  <c r="D142" i="7"/>
  <c r="D141" i="7"/>
  <c r="AA19" i="21"/>
  <c r="D139" i="7"/>
  <c r="K549" i="22" l="1"/>
  <c r="I559" i="22"/>
  <c r="K539" i="22"/>
  <c r="D153" i="7"/>
  <c r="D69" i="25"/>
  <c r="D18" i="9"/>
  <c r="E18" i="9" s="1"/>
  <c r="F117" i="22"/>
  <c r="G117" i="22" s="1"/>
  <c r="I6" i="11"/>
  <c r="H284" i="22"/>
  <c r="H285" i="22" s="1"/>
  <c r="D158" i="7"/>
  <c r="D74" i="25"/>
  <c r="D162" i="7"/>
  <c r="D78" i="25"/>
  <c r="D157" i="7"/>
  <c r="D73" i="25"/>
  <c r="D159" i="7"/>
  <c r="D75" i="25"/>
  <c r="D154" i="7"/>
  <c r="D70" i="25"/>
  <c r="D155" i="7"/>
  <c r="D71" i="25"/>
  <c r="D151" i="7"/>
  <c r="D67" i="25"/>
  <c r="D156" i="7"/>
  <c r="D72" i="25"/>
  <c r="M77" i="7"/>
  <c r="M137" i="7" s="1"/>
  <c r="L137" i="7"/>
  <c r="AB15" i="21"/>
  <c r="H5" i="11"/>
  <c r="C17" i="9"/>
  <c r="L180" i="7"/>
  <c r="M180" i="7" s="1"/>
  <c r="AG19" i="21"/>
  <c r="AH19" i="21"/>
  <c r="AG28" i="21"/>
  <c r="AH28" i="21"/>
  <c r="C141" i="7"/>
  <c r="C145" i="7"/>
  <c r="C149" i="7"/>
  <c r="C77" i="25" s="1"/>
  <c r="AA6" i="21"/>
  <c r="AA10" i="21"/>
  <c r="AA14" i="21"/>
  <c r="C143" i="7"/>
  <c r="C139" i="7"/>
  <c r="C147" i="7"/>
  <c r="AA4" i="21"/>
  <c r="D149" i="7"/>
  <c r="C146" i="7"/>
  <c r="C142" i="7"/>
  <c r="AA8" i="21"/>
  <c r="C144" i="7"/>
  <c r="AA12" i="21"/>
  <c r="C148" i="7"/>
  <c r="C76" i="25" s="1"/>
  <c r="AA27" i="21"/>
  <c r="D148" i="7"/>
  <c r="C140" i="7"/>
  <c r="C68" i="25" s="1"/>
  <c r="D140" i="7"/>
  <c r="C150" i="7"/>
  <c r="AA20" i="21"/>
  <c r="AA22" i="21"/>
  <c r="AA26" i="21"/>
  <c r="AA21" i="21"/>
  <c r="AA23" i="21"/>
  <c r="AA25" i="21"/>
  <c r="AA29" i="21"/>
  <c r="AA18" i="21"/>
  <c r="AA24" i="21"/>
  <c r="AA3" i="21"/>
  <c r="AA5" i="21"/>
  <c r="AA7" i="21"/>
  <c r="AA9" i="21"/>
  <c r="AA11" i="21"/>
  <c r="AA13" i="21"/>
  <c r="H150" i="7" l="1"/>
  <c r="C78" i="25"/>
  <c r="H142" i="7"/>
  <c r="C70" i="25"/>
  <c r="H146" i="7"/>
  <c r="C74" i="25"/>
  <c r="D160" i="7"/>
  <c r="D76" i="25"/>
  <c r="D161" i="7"/>
  <c r="D77" i="25"/>
  <c r="D17" i="9"/>
  <c r="E17" i="9" s="1"/>
  <c r="F116" i="22"/>
  <c r="G116" i="22" s="1"/>
  <c r="D152" i="7"/>
  <c r="D68" i="25"/>
  <c r="H6" i="11"/>
  <c r="G284" i="22"/>
  <c r="G285" i="22" s="1"/>
  <c r="H141" i="7"/>
  <c r="C69" i="25"/>
  <c r="E99" i="22"/>
  <c r="H145" i="7"/>
  <c r="C73" i="25"/>
  <c r="H147" i="7"/>
  <c r="C75" i="25"/>
  <c r="H139" i="7"/>
  <c r="C67" i="25"/>
  <c r="H144" i="7"/>
  <c r="C72" i="25"/>
  <c r="H143" i="7"/>
  <c r="C71" i="25"/>
  <c r="H149" i="7"/>
  <c r="H140" i="7"/>
  <c r="H148" i="7"/>
  <c r="AH3" i="21"/>
  <c r="C193" i="7" s="1"/>
  <c r="AG3" i="21"/>
  <c r="AG24" i="21"/>
  <c r="AH24" i="21"/>
  <c r="AG20" i="21"/>
  <c r="AH20" i="21"/>
  <c r="AG4" i="21"/>
  <c r="AH4" i="21"/>
  <c r="AH14" i="21"/>
  <c r="AG14" i="21"/>
  <c r="AG18" i="21"/>
  <c r="AH18" i="21"/>
  <c r="AH8" i="21"/>
  <c r="AG8" i="21"/>
  <c r="AG12" i="21"/>
  <c r="AH12" i="21"/>
  <c r="AG10" i="21"/>
  <c r="AH10" i="21"/>
  <c r="AG9" i="21"/>
  <c r="AH9" i="21"/>
  <c r="AG23" i="21"/>
  <c r="AH23" i="21"/>
  <c r="AH6" i="21"/>
  <c r="AG6" i="21"/>
  <c r="AG22" i="21"/>
  <c r="AH22" i="21"/>
  <c r="AH13" i="21"/>
  <c r="AG13" i="21"/>
  <c r="AG29" i="21"/>
  <c r="AH29" i="21"/>
  <c r="AG11" i="21"/>
  <c r="AH11" i="21"/>
  <c r="AH25" i="21"/>
  <c r="AG25" i="21"/>
  <c r="AH7" i="21"/>
  <c r="AG7" i="21"/>
  <c r="AG21" i="21"/>
  <c r="AH21" i="21"/>
  <c r="AG27" i="21"/>
  <c r="AH27" i="21"/>
  <c r="AH5" i="21"/>
  <c r="AG5" i="21"/>
  <c r="AH26" i="21"/>
  <c r="AG26" i="21"/>
  <c r="C152" i="7"/>
  <c r="H152" i="7" s="1"/>
  <c r="C151" i="7"/>
  <c r="H151" i="7" s="1"/>
  <c r="C160" i="7"/>
  <c r="C155" i="7"/>
  <c r="H155" i="7" s="1"/>
  <c r="C161" i="7"/>
  <c r="H161" i="7" s="1"/>
  <c r="C162" i="7"/>
  <c r="H162" i="7" s="1"/>
  <c r="C158" i="7"/>
  <c r="H158" i="7" s="1"/>
  <c r="C156" i="7"/>
  <c r="H156" i="7" s="1"/>
  <c r="C157" i="7"/>
  <c r="H157" i="7" s="1"/>
  <c r="C154" i="7"/>
  <c r="H154" i="7" s="1"/>
  <c r="C159" i="7"/>
  <c r="H159" i="7" s="1"/>
  <c r="C153" i="7"/>
  <c r="H153" i="7" s="1"/>
  <c r="AA30" i="21"/>
  <c r="AA15" i="21"/>
  <c r="B46" i="18"/>
  <c r="C46" i="18"/>
  <c r="D46" i="18"/>
  <c r="E46" i="18"/>
  <c r="H38" i="9"/>
  <c r="H56" i="9" s="1"/>
  <c r="I38" i="9"/>
  <c r="I56" i="9" s="1"/>
  <c r="J38" i="9"/>
  <c r="J56" i="9" s="1"/>
  <c r="K38" i="9"/>
  <c r="K56" i="9" s="1"/>
  <c r="L38" i="9"/>
  <c r="L56" i="9" s="1"/>
  <c r="M38" i="9"/>
  <c r="M56" i="9" s="1"/>
  <c r="N38" i="9"/>
  <c r="N56" i="9" s="1"/>
  <c r="O15" i="9"/>
  <c r="G15" i="9"/>
  <c r="B44" i="17"/>
  <c r="C44" i="17"/>
  <c r="D44" i="17"/>
  <c r="G44" i="17"/>
  <c r="H44" i="17"/>
  <c r="H160" i="7" l="1"/>
  <c r="F267" i="22"/>
  <c r="E267" i="22"/>
  <c r="G267" i="22"/>
  <c r="H267" i="22"/>
  <c r="H184" i="7"/>
  <c r="C21" i="9" s="1"/>
  <c r="H185" i="7"/>
  <c r="C22" i="9" s="1"/>
  <c r="F121" i="22" l="1"/>
  <c r="F120" i="22"/>
  <c r="M5" i="11"/>
  <c r="L5" i="11"/>
  <c r="K284" i="22" l="1"/>
  <c r="L284" i="22"/>
  <c r="J3" i="17" l="1"/>
  <c r="G194" i="7"/>
  <c r="G195" i="7"/>
  <c r="G196" i="7"/>
  <c r="G197" i="7"/>
  <c r="G198" i="7"/>
  <c r="G199" i="7"/>
  <c r="G200" i="7"/>
  <c r="G201" i="7"/>
  <c r="G202" i="7"/>
  <c r="G203" i="7"/>
  <c r="G204" i="7"/>
  <c r="G193" i="7"/>
  <c r="H37" i="9" l="1"/>
  <c r="H55" i="9" s="1"/>
  <c r="H36" i="9"/>
  <c r="H35" i="9"/>
  <c r="I37" i="9"/>
  <c r="I55" i="9" s="1"/>
  <c r="I36" i="9"/>
  <c r="I35" i="9"/>
  <c r="J37" i="9"/>
  <c r="J55" i="9" s="1"/>
  <c r="J36" i="9"/>
  <c r="J35" i="9"/>
  <c r="K37" i="9"/>
  <c r="K55" i="9" s="1"/>
  <c r="K36" i="9"/>
  <c r="K35" i="9"/>
  <c r="M37" i="9"/>
  <c r="M36" i="9"/>
  <c r="M35" i="9"/>
  <c r="N37" i="9"/>
  <c r="N55" i="9" s="1"/>
  <c r="N36" i="9"/>
  <c r="N35" i="9"/>
  <c r="C44" i="18"/>
  <c r="F265" i="22" s="1"/>
  <c r="C45" i="18"/>
  <c r="G10" i="9"/>
  <c r="G11" i="9"/>
  <c r="B12" i="11" s="1"/>
  <c r="E9" i="22" s="1"/>
  <c r="L36" i="9"/>
  <c r="L35" i="9"/>
  <c r="L37" i="9"/>
  <c r="L55" i="9" s="1"/>
  <c r="E52" i="17"/>
  <c r="F52" i="17"/>
  <c r="Z30" i="21"/>
  <c r="Y30" i="21"/>
  <c r="X30" i="21"/>
  <c r="W30" i="21"/>
  <c r="V30" i="21"/>
  <c r="U30" i="21"/>
  <c r="T30" i="21"/>
  <c r="S30" i="21"/>
  <c r="R30" i="21"/>
  <c r="Q30" i="21"/>
  <c r="P30" i="21"/>
  <c r="O30" i="21"/>
  <c r="N30" i="21"/>
  <c r="M30" i="21"/>
  <c r="L30" i="21"/>
  <c r="Z15" i="21"/>
  <c r="Y15" i="21"/>
  <c r="X15" i="21"/>
  <c r="W15" i="21"/>
  <c r="V15" i="21"/>
  <c r="U15" i="21"/>
  <c r="T15" i="21"/>
  <c r="S15" i="21"/>
  <c r="R15" i="21"/>
  <c r="Q15" i="21"/>
  <c r="P15" i="21"/>
  <c r="O15" i="21"/>
  <c r="N15" i="21"/>
  <c r="M15" i="21"/>
  <c r="L15" i="21"/>
  <c r="B179" i="7"/>
  <c r="B187" i="7" s="1"/>
  <c r="B178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M7" i="7"/>
  <c r="M6" i="7"/>
  <c r="M5" i="7"/>
  <c r="M4" i="7"/>
  <c r="M3" i="7"/>
  <c r="D203" i="7"/>
  <c r="D199" i="7"/>
  <c r="D197" i="7"/>
  <c r="D195" i="7"/>
  <c r="AH30" i="21"/>
  <c r="C202" i="7"/>
  <c r="C201" i="7"/>
  <c r="C198" i="7"/>
  <c r="C197" i="7"/>
  <c r="C195" i="7"/>
  <c r="C194" i="7"/>
  <c r="AH15" i="21"/>
  <c r="E49" i="11"/>
  <c r="E44" i="11"/>
  <c r="E39" i="11"/>
  <c r="E34" i="11"/>
  <c r="E29" i="11"/>
  <c r="E25" i="11"/>
  <c r="E21" i="11"/>
  <c r="D21" i="11"/>
  <c r="B177" i="7"/>
  <c r="B14" i="9" s="1"/>
  <c r="E113" i="22" s="1"/>
  <c r="E45" i="18"/>
  <c r="D45" i="18"/>
  <c r="B45" i="18"/>
  <c r="B44" i="18"/>
  <c r="E265" i="22" s="1"/>
  <c r="G14" i="9"/>
  <c r="E12" i="11" s="1"/>
  <c r="E12" i="22" s="1"/>
  <c r="O14" i="9"/>
  <c r="A14" i="9"/>
  <c r="H43" i="17"/>
  <c r="G43" i="17"/>
  <c r="D43" i="17"/>
  <c r="C43" i="17"/>
  <c r="B43" i="17"/>
  <c r="E15" i="18"/>
  <c r="E30" i="11"/>
  <c r="D49" i="11"/>
  <c r="D48" i="11"/>
  <c r="D44" i="11"/>
  <c r="D40" i="11"/>
  <c r="D39" i="11"/>
  <c r="D35" i="11"/>
  <c r="D34" i="11"/>
  <c r="D30" i="11"/>
  <c r="D29" i="11"/>
  <c r="D25" i="11"/>
  <c r="A72" i="9"/>
  <c r="A77" i="9" s="1"/>
  <c r="A81" i="9" s="1"/>
  <c r="A16" i="9"/>
  <c r="J16" i="17"/>
  <c r="J15" i="17"/>
  <c r="D42" i="17"/>
  <c r="C42" i="17"/>
  <c r="B42" i="17"/>
  <c r="H42" i="17"/>
  <c r="G42" i="17"/>
  <c r="D44" i="18"/>
  <c r="G265" i="22" s="1"/>
  <c r="O13" i="9"/>
  <c r="G13" i="9"/>
  <c r="D12" i="11" s="1"/>
  <c r="E11" i="22" s="1"/>
  <c r="F11" i="22" s="1"/>
  <c r="G11" i="22" s="1"/>
  <c r="A13" i="9"/>
  <c r="B176" i="7"/>
  <c r="B13" i="9" s="1"/>
  <c r="E112" i="22" s="1"/>
  <c r="C34" i="11"/>
  <c r="C29" i="11"/>
  <c r="C49" i="11"/>
  <c r="C45" i="11"/>
  <c r="C44" i="11"/>
  <c r="C40" i="11"/>
  <c r="C39" i="11"/>
  <c r="C30" i="11"/>
  <c r="C25" i="11"/>
  <c r="C21" i="11"/>
  <c r="C35" i="11"/>
  <c r="E40" i="11"/>
  <c r="D43" i="18"/>
  <c r="E43" i="18"/>
  <c r="C43" i="18"/>
  <c r="B43" i="18"/>
  <c r="M34" i="9"/>
  <c r="O12" i="9"/>
  <c r="G12" i="9"/>
  <c r="C12" i="11" s="1"/>
  <c r="E10" i="22" s="1"/>
  <c r="A12" i="9"/>
  <c r="A35" i="9" s="1"/>
  <c r="B175" i="7"/>
  <c r="C4" i="11" s="1"/>
  <c r="E43" i="11"/>
  <c r="E28" i="11"/>
  <c r="H41" i="17"/>
  <c r="G41" i="17"/>
  <c r="F41" i="17"/>
  <c r="D41" i="17"/>
  <c r="C41" i="17"/>
  <c r="B41" i="17"/>
  <c r="J34" i="9"/>
  <c r="J33" i="9"/>
  <c r="C30" i="17"/>
  <c r="C31" i="17"/>
  <c r="C32" i="17"/>
  <c r="C33" i="17"/>
  <c r="C34" i="17"/>
  <c r="C35" i="17"/>
  <c r="C36" i="17"/>
  <c r="C37" i="17"/>
  <c r="C38" i="17"/>
  <c r="C39" i="17"/>
  <c r="C40" i="17"/>
  <c r="B30" i="17"/>
  <c r="B31" i="17"/>
  <c r="B32" i="17"/>
  <c r="B33" i="17"/>
  <c r="B34" i="17"/>
  <c r="B35" i="17"/>
  <c r="B36" i="17"/>
  <c r="B37" i="17"/>
  <c r="B38" i="17"/>
  <c r="B39" i="17"/>
  <c r="B40" i="17"/>
  <c r="B29" i="11"/>
  <c r="B21" i="11"/>
  <c r="B25" i="11"/>
  <c r="B34" i="11"/>
  <c r="B39" i="11"/>
  <c r="B44" i="11"/>
  <c r="B49" i="11"/>
  <c r="E38" i="18"/>
  <c r="E39" i="18"/>
  <c r="E40" i="18"/>
  <c r="E41" i="18"/>
  <c r="E42" i="18"/>
  <c r="D38" i="18"/>
  <c r="D39" i="18"/>
  <c r="D40" i="18"/>
  <c r="D41" i="18"/>
  <c r="D42" i="18"/>
  <c r="C38" i="18"/>
  <c r="C39" i="18"/>
  <c r="C40" i="18"/>
  <c r="C41" i="18"/>
  <c r="C42" i="18"/>
  <c r="B42" i="18"/>
  <c r="B38" i="18"/>
  <c r="B39" i="18"/>
  <c r="B40" i="18"/>
  <c r="B41" i="18"/>
  <c r="G30" i="17"/>
  <c r="G31" i="17"/>
  <c r="G32" i="17"/>
  <c r="G33" i="17"/>
  <c r="G34" i="17"/>
  <c r="G35" i="17"/>
  <c r="G36" i="17"/>
  <c r="G37" i="17"/>
  <c r="G38" i="17"/>
  <c r="G39" i="17"/>
  <c r="G40" i="17"/>
  <c r="C43" i="11"/>
  <c r="D38" i="11"/>
  <c r="C38" i="11"/>
  <c r="D28" i="11"/>
  <c r="C28" i="11"/>
  <c r="C24" i="11"/>
  <c r="B174" i="7"/>
  <c r="B11" i="9" s="1"/>
  <c r="E110" i="22" s="1"/>
  <c r="B9" i="9"/>
  <c r="B173" i="7"/>
  <c r="B10" i="9" s="1"/>
  <c r="C20" i="11"/>
  <c r="C33" i="11"/>
  <c r="M33" i="9"/>
  <c r="L34" i="9"/>
  <c r="L33" i="9"/>
  <c r="D30" i="17"/>
  <c r="D31" i="17"/>
  <c r="D32" i="17"/>
  <c r="D33" i="17"/>
  <c r="D34" i="17"/>
  <c r="D35" i="17"/>
  <c r="D36" i="17"/>
  <c r="D37" i="17"/>
  <c r="D38" i="17"/>
  <c r="D39" i="17"/>
  <c r="D40" i="17"/>
  <c r="I34" i="9"/>
  <c r="I33" i="9"/>
  <c r="H34" i="9"/>
  <c r="H33" i="9"/>
  <c r="F30" i="17"/>
  <c r="F31" i="17"/>
  <c r="F32" i="17"/>
  <c r="F33" i="17"/>
  <c r="F34" i="17"/>
  <c r="F35" i="17"/>
  <c r="F36" i="17"/>
  <c r="F37" i="17"/>
  <c r="F38" i="17"/>
  <c r="F39" i="17"/>
  <c r="F40" i="17"/>
  <c r="N34" i="9"/>
  <c r="J14" i="17"/>
  <c r="J13" i="17"/>
  <c r="O11" i="9"/>
  <c r="O10" i="9"/>
  <c r="A15" i="9"/>
  <c r="D37" i="18"/>
  <c r="E37" i="18"/>
  <c r="B37" i="18"/>
  <c r="C37" i="18"/>
  <c r="B20" i="11"/>
  <c r="B24" i="11"/>
  <c r="B28" i="11"/>
  <c r="E30" i="17"/>
  <c r="E31" i="17"/>
  <c r="E32" i="17"/>
  <c r="E33" i="17"/>
  <c r="E34" i="17"/>
  <c r="E35" i="17"/>
  <c r="E36" i="17"/>
  <c r="E37" i="17"/>
  <c r="E38" i="17"/>
  <c r="H30" i="17"/>
  <c r="H31" i="17"/>
  <c r="H32" i="17"/>
  <c r="H33" i="17"/>
  <c r="H34" i="17"/>
  <c r="H35" i="17"/>
  <c r="H36" i="17"/>
  <c r="H37" i="17"/>
  <c r="H38" i="17"/>
  <c r="G7" i="9"/>
  <c r="G8" i="9"/>
  <c r="G9" i="9"/>
  <c r="B38" i="11"/>
  <c r="B43" i="11"/>
  <c r="B48" i="11"/>
  <c r="A47" i="11"/>
  <c r="A42" i="11"/>
  <c r="A37" i="11"/>
  <c r="A32" i="11"/>
  <c r="A27" i="11"/>
  <c r="A23" i="11"/>
  <c r="D194" i="7"/>
  <c r="C196" i="7"/>
  <c r="H196" i="7" s="1"/>
  <c r="D198" i="7"/>
  <c r="C199" i="7"/>
  <c r="H199" i="7" s="1"/>
  <c r="C200" i="7"/>
  <c r="D200" i="7"/>
  <c r="D201" i="7"/>
  <c r="D202" i="7"/>
  <c r="C203" i="7"/>
  <c r="C204" i="7"/>
  <c r="D204" i="7"/>
  <c r="A19" i="11"/>
  <c r="G6" i="9"/>
  <c r="F2" i="18"/>
  <c r="J5" i="17"/>
  <c r="J6" i="17"/>
  <c r="J4" i="17"/>
  <c r="J8" i="17"/>
  <c r="J7" i="17"/>
  <c r="J9" i="17"/>
  <c r="J10" i="17"/>
  <c r="J11" i="17"/>
  <c r="J12" i="17"/>
  <c r="O6" i="9"/>
  <c r="O7" i="9"/>
  <c r="O8" i="9"/>
  <c r="O9" i="9"/>
  <c r="I3" i="17"/>
  <c r="F11" i="18"/>
  <c r="I12" i="17"/>
  <c r="F10" i="18"/>
  <c r="I11" i="17"/>
  <c r="F9" i="18"/>
  <c r="I10" i="17"/>
  <c r="F8" i="18"/>
  <c r="I9" i="17"/>
  <c r="F7" i="18"/>
  <c r="I8" i="17"/>
  <c r="F6" i="18"/>
  <c r="I7" i="17"/>
  <c r="F5" i="18"/>
  <c r="I6" i="17"/>
  <c r="F4" i="18"/>
  <c r="I5" i="17"/>
  <c r="F3" i="18"/>
  <c r="I4" i="17"/>
  <c r="A11" i="9"/>
  <c r="A34" i="9" s="1"/>
  <c r="C2" i="17"/>
  <c r="D2" i="17"/>
  <c r="B1" i="18" s="1"/>
  <c r="E2" i="17"/>
  <c r="C1" i="18" s="1"/>
  <c r="F2" i="17"/>
  <c r="D1" i="18" s="1"/>
  <c r="G2" i="17"/>
  <c r="E1" i="18" s="1"/>
  <c r="H2" i="17"/>
  <c r="B2" i="17"/>
  <c r="A6" i="9"/>
  <c r="A7" i="9"/>
  <c r="A8" i="9"/>
  <c r="A9" i="9"/>
  <c r="F12" i="18"/>
  <c r="B30" i="11"/>
  <c r="B35" i="11"/>
  <c r="B40" i="11"/>
  <c r="B45" i="11"/>
  <c r="F13" i="18"/>
  <c r="C48" i="11"/>
  <c r="D24" i="11"/>
  <c r="D43" i="11"/>
  <c r="D20" i="11"/>
  <c r="D33" i="11"/>
  <c r="F14" i="18"/>
  <c r="E33" i="11"/>
  <c r="E38" i="11"/>
  <c r="J17" i="17"/>
  <c r="E24" i="11"/>
  <c r="E48" i="11"/>
  <c r="E45" i="11"/>
  <c r="H39" i="17"/>
  <c r="H40" i="17"/>
  <c r="N33" i="9"/>
  <c r="E39" i="17"/>
  <c r="K33" i="9"/>
  <c r="E40" i="17"/>
  <c r="K34" i="9"/>
  <c r="B33" i="11"/>
  <c r="E41" i="17"/>
  <c r="F16" i="18"/>
  <c r="E35" i="11"/>
  <c r="M72" i="7"/>
  <c r="D193" i="7"/>
  <c r="H193" i="7" s="1"/>
  <c r="AG30" i="21"/>
  <c r="AG15" i="21"/>
  <c r="F10" i="22" l="1"/>
  <c r="G10" i="22" s="1"/>
  <c r="H200" i="7"/>
  <c r="H197" i="7"/>
  <c r="H23" i="22"/>
  <c r="H59" i="22" s="1"/>
  <c r="H126" i="22" s="1"/>
  <c r="H140" i="22" s="1"/>
  <c r="H155" i="22" s="1"/>
  <c r="H161" i="22" s="1"/>
  <c r="H175" i="22" s="1"/>
  <c r="H190" i="22" s="1"/>
  <c r="H196" i="22" s="1"/>
  <c r="H202" i="22" s="1"/>
  <c r="B334" i="22"/>
  <c r="B410" i="22"/>
  <c r="B422" i="22" s="1"/>
  <c r="B434" i="22" s="1"/>
  <c r="B446" i="22" s="1"/>
  <c r="B458" i="22" s="1"/>
  <c r="B470" i="22" s="1"/>
  <c r="B482" i="22" s="1"/>
  <c r="I23" i="22"/>
  <c r="I59" i="22" s="1"/>
  <c r="I126" i="22" s="1"/>
  <c r="I140" i="22" s="1"/>
  <c r="I155" i="22" s="1"/>
  <c r="I161" i="22" s="1"/>
  <c r="I175" i="22" s="1"/>
  <c r="I190" i="22" s="1"/>
  <c r="I196" i="22" s="1"/>
  <c r="I202" i="22" s="1"/>
  <c r="B411" i="22"/>
  <c r="B423" i="22" s="1"/>
  <c r="B435" i="22" s="1"/>
  <c r="B447" i="22" s="1"/>
  <c r="B459" i="22" s="1"/>
  <c r="B471" i="22" s="1"/>
  <c r="B483" i="22" s="1"/>
  <c r="B349" i="22"/>
  <c r="B407" i="22"/>
  <c r="B419" i="22" s="1"/>
  <c r="B431" i="22" s="1"/>
  <c r="B443" i="22" s="1"/>
  <c r="B455" i="22" s="1"/>
  <c r="B467" i="22" s="1"/>
  <c r="B479" i="22" s="1"/>
  <c r="E23" i="22"/>
  <c r="E59" i="22" s="1"/>
  <c r="E126" i="22" s="1"/>
  <c r="E140" i="22" s="1"/>
  <c r="E155" i="22" s="1"/>
  <c r="E161" i="22" s="1"/>
  <c r="E175" i="22" s="1"/>
  <c r="E190" i="22" s="1"/>
  <c r="E196" i="22" s="1"/>
  <c r="E202" i="22" s="1"/>
  <c r="B412" i="22"/>
  <c r="B424" i="22" s="1"/>
  <c r="B436" i="22" s="1"/>
  <c r="B448" i="22" s="1"/>
  <c r="B460" i="22" s="1"/>
  <c r="B472" i="22" s="1"/>
  <c r="B484" i="22" s="1"/>
  <c r="B364" i="22"/>
  <c r="J23" i="22"/>
  <c r="J59" i="22" s="1"/>
  <c r="J126" i="22" s="1"/>
  <c r="J140" i="22" s="1"/>
  <c r="J155" i="22" s="1"/>
  <c r="J161" i="22" s="1"/>
  <c r="J175" i="22" s="1"/>
  <c r="J190" i="22" s="1"/>
  <c r="J196" i="22" s="1"/>
  <c r="J202" i="22" s="1"/>
  <c r="B413" i="22"/>
  <c r="B425" i="22" s="1"/>
  <c r="B437" i="22" s="1"/>
  <c r="B449" i="22" s="1"/>
  <c r="B461" i="22" s="1"/>
  <c r="B473" i="22" s="1"/>
  <c r="B485" i="22" s="1"/>
  <c r="B379" i="22"/>
  <c r="K23" i="22"/>
  <c r="K59" i="22" s="1"/>
  <c r="K126" i="22" s="1"/>
  <c r="K140" i="22" s="1"/>
  <c r="K155" i="22" s="1"/>
  <c r="K161" i="22" s="1"/>
  <c r="K175" i="22" s="1"/>
  <c r="K190" i="22" s="1"/>
  <c r="K196" i="22" s="1"/>
  <c r="K202" i="22" s="1"/>
  <c r="B409" i="22"/>
  <c r="B421" i="22" s="1"/>
  <c r="B433" i="22" s="1"/>
  <c r="B445" i="22" s="1"/>
  <c r="B457" i="22" s="1"/>
  <c r="B469" i="22" s="1"/>
  <c r="B481" i="22" s="1"/>
  <c r="G23" i="22"/>
  <c r="G59" i="22" s="1"/>
  <c r="G126" i="22" s="1"/>
  <c r="G140" i="22" s="1"/>
  <c r="G155" i="22" s="1"/>
  <c r="G161" i="22" s="1"/>
  <c r="G175" i="22" s="1"/>
  <c r="G190" i="22" s="1"/>
  <c r="G196" i="22" s="1"/>
  <c r="G202" i="22" s="1"/>
  <c r="B318" i="22"/>
  <c r="B408" i="22"/>
  <c r="B420" i="22" s="1"/>
  <c r="B432" i="22" s="1"/>
  <c r="B444" i="22" s="1"/>
  <c r="B456" i="22" s="1"/>
  <c r="B468" i="22" s="1"/>
  <c r="B480" i="22" s="1"/>
  <c r="F23" i="22"/>
  <c r="F59" i="22" s="1"/>
  <c r="F126" i="22" s="1"/>
  <c r="F140" i="22" s="1"/>
  <c r="F155" i="22" s="1"/>
  <c r="F161" i="22" s="1"/>
  <c r="F175" i="22" s="1"/>
  <c r="F190" i="22" s="1"/>
  <c r="F196" i="22" s="1"/>
  <c r="F202" i="22" s="1"/>
  <c r="F12" i="22"/>
  <c r="G12" i="22" s="1"/>
  <c r="F13" i="22"/>
  <c r="G13" i="22" s="1"/>
  <c r="H263" i="22"/>
  <c r="G264" i="22"/>
  <c r="E266" i="22"/>
  <c r="G266" i="22"/>
  <c r="D63" i="18"/>
  <c r="G263" i="22"/>
  <c r="H266" i="22"/>
  <c r="F266" i="22"/>
  <c r="B63" i="18"/>
  <c r="E263" i="22"/>
  <c r="E264" i="22"/>
  <c r="C63" i="18"/>
  <c r="F263" i="22"/>
  <c r="F264" i="22"/>
  <c r="H264" i="22"/>
  <c r="H251" i="22"/>
  <c r="I251" i="22" s="1"/>
  <c r="H204" i="7"/>
  <c r="H198" i="7"/>
  <c r="H203" i="7"/>
  <c r="H201" i="7"/>
  <c r="H202" i="7"/>
  <c r="H194" i="7"/>
  <c r="H195" i="7"/>
  <c r="B15" i="9"/>
  <c r="E114" i="22" s="1"/>
  <c r="F4" i="11"/>
  <c r="G4" i="11"/>
  <c r="F283" i="22" s="1"/>
  <c r="B16" i="9"/>
  <c r="D45" i="11"/>
  <c r="I53" i="9"/>
  <c r="E56" i="17"/>
  <c r="F15" i="18"/>
  <c r="E44" i="18"/>
  <c r="H265" i="22" s="1"/>
  <c r="C52" i="17"/>
  <c r="K54" i="9"/>
  <c r="N53" i="9"/>
  <c r="M53" i="9"/>
  <c r="K51" i="9"/>
  <c r="M63" i="7"/>
  <c r="E4" i="11"/>
  <c r="B12" i="9"/>
  <c r="E111" i="22" s="1"/>
  <c r="M73" i="7"/>
  <c r="B7" i="9"/>
  <c r="M67" i="7"/>
  <c r="D4" i="11"/>
  <c r="J52" i="9"/>
  <c r="I52" i="9"/>
  <c r="N51" i="9"/>
  <c r="J51" i="9"/>
  <c r="M54" i="9"/>
  <c r="M55" i="9"/>
  <c r="L52" i="9"/>
  <c r="N52" i="9"/>
  <c r="H51" i="9"/>
  <c r="F9" i="9"/>
  <c r="P72" i="9"/>
  <c r="K52" i="9"/>
  <c r="D53" i="11"/>
  <c r="D57" i="11" s="1"/>
  <c r="H53" i="9"/>
  <c r="I54" i="9"/>
  <c r="L53" i="9"/>
  <c r="N54" i="9"/>
  <c r="L51" i="9"/>
  <c r="F56" i="17"/>
  <c r="H52" i="9"/>
  <c r="B52" i="17"/>
  <c r="B56" i="17"/>
  <c r="H56" i="17"/>
  <c r="K53" i="9"/>
  <c r="M51" i="9"/>
  <c r="L54" i="9"/>
  <c r="J53" i="9"/>
  <c r="H54" i="9"/>
  <c r="I51" i="9"/>
  <c r="C60" i="11"/>
  <c r="C64" i="11" s="1"/>
  <c r="M52" i="9"/>
  <c r="D63" i="11"/>
  <c r="E52" i="11"/>
  <c r="H12" i="22" s="1"/>
  <c r="J54" i="9"/>
  <c r="B60" i="11"/>
  <c r="B64" i="11" s="1"/>
  <c r="B53" i="11"/>
  <c r="B57" i="11" s="1"/>
  <c r="E53" i="11"/>
  <c r="E57" i="11" s="1"/>
  <c r="C53" i="11"/>
  <c r="C57" i="11" s="1"/>
  <c r="E63" i="11"/>
  <c r="B52" i="11"/>
  <c r="H9" i="22" s="1"/>
  <c r="C52" i="11"/>
  <c r="H10" i="22" s="1"/>
  <c r="D52" i="11"/>
  <c r="H11" i="22" s="1"/>
  <c r="L63" i="11"/>
  <c r="E60" i="11"/>
  <c r="D60" i="11"/>
  <c r="B8" i="9"/>
  <c r="B6" i="9"/>
  <c r="M64" i="7"/>
  <c r="F11" i="9"/>
  <c r="M74" i="7"/>
  <c r="B5" i="11"/>
  <c r="M71" i="7"/>
  <c r="M68" i="7"/>
  <c r="B4" i="11"/>
  <c r="M65" i="7"/>
  <c r="C8" i="9"/>
  <c r="D205" i="7"/>
  <c r="M70" i="7"/>
  <c r="M69" i="7"/>
  <c r="M66" i="7"/>
  <c r="F10" i="9"/>
  <c r="F14" i="9"/>
  <c r="F13" i="9"/>
  <c r="C205" i="7"/>
  <c r="E54" i="11"/>
  <c r="E58" i="11" s="1"/>
  <c r="B54" i="11"/>
  <c r="B58" i="11" s="1"/>
  <c r="C54" i="11"/>
  <c r="C58" i="11" s="1"/>
  <c r="F15" i="9" l="1"/>
  <c r="F16" i="9"/>
  <c r="E115" i="22"/>
  <c r="I10" i="22"/>
  <c r="J10" i="22" s="1"/>
  <c r="G232" i="22"/>
  <c r="E247" i="22" s="1"/>
  <c r="E261" i="22" s="1"/>
  <c r="E276" i="22" s="1"/>
  <c r="E232" i="22"/>
  <c r="I12" i="22"/>
  <c r="J12" i="22" s="1"/>
  <c r="I13" i="22"/>
  <c r="J13" i="22" s="1"/>
  <c r="K232" i="22"/>
  <c r="I232" i="22"/>
  <c r="G247" i="22" s="1"/>
  <c r="G261" i="22" s="1"/>
  <c r="G276" i="22" s="1"/>
  <c r="F232" i="22"/>
  <c r="B307" i="22" s="1"/>
  <c r="J232" i="22"/>
  <c r="H247" i="22" s="1"/>
  <c r="H261" i="22" s="1"/>
  <c r="H276" i="22" s="1"/>
  <c r="I11" i="22"/>
  <c r="J11" i="22" s="1"/>
  <c r="H232" i="22"/>
  <c r="F247" i="22" s="1"/>
  <c r="F261" i="22" s="1"/>
  <c r="F276" i="22" s="1"/>
  <c r="E63" i="18"/>
  <c r="L290" i="22"/>
  <c r="E56" i="11"/>
  <c r="D54" i="11"/>
  <c r="D58" i="11" s="1"/>
  <c r="C56" i="17"/>
  <c r="F12" i="9"/>
  <c r="C10" i="9"/>
  <c r="D8" i="9"/>
  <c r="E8" i="9" s="1"/>
  <c r="F7" i="9"/>
  <c r="H205" i="7"/>
  <c r="B65" i="11"/>
  <c r="H62" i="9"/>
  <c r="H68" i="9" s="1"/>
  <c r="J62" i="9"/>
  <c r="F6" i="9"/>
  <c r="D64" i="11"/>
  <c r="D65" i="11" s="1"/>
  <c r="E58" i="18"/>
  <c r="B58" i="18"/>
  <c r="D58" i="18"/>
  <c r="C58" i="18"/>
  <c r="E64" i="11"/>
  <c r="F65" i="11" s="1"/>
  <c r="G52" i="17"/>
  <c r="G56" i="17"/>
  <c r="D52" i="17"/>
  <c r="D56" i="17"/>
  <c r="N62" i="9"/>
  <c r="M63" i="11"/>
  <c r="D56" i="11"/>
  <c r="B6" i="11"/>
  <c r="C56" i="11"/>
  <c r="B56" i="11"/>
  <c r="C65" i="11"/>
  <c r="C11" i="9"/>
  <c r="F110" i="22" s="1"/>
  <c r="G110" i="22" s="1"/>
  <c r="F8" i="9"/>
  <c r="H179" i="7"/>
  <c r="H187" i="7" s="1"/>
  <c r="L187" i="7" s="1"/>
  <c r="C12" i="9"/>
  <c r="F111" i="22" s="1"/>
  <c r="G111" i="22" s="1"/>
  <c r="C5" i="11"/>
  <c r="E5" i="11"/>
  <c r="C14" i="9"/>
  <c r="F113" i="22" s="1"/>
  <c r="G113" i="22" s="1"/>
  <c r="F5" i="11"/>
  <c r="F6" i="11" s="1"/>
  <c r="D5" i="11"/>
  <c r="C13" i="9"/>
  <c r="F112" i="22" s="1"/>
  <c r="G112" i="22" s="1"/>
  <c r="C7" i="9"/>
  <c r="C6" i="9"/>
  <c r="C9" i="9"/>
  <c r="F26" i="9" l="1"/>
  <c r="J70" i="25"/>
  <c r="L205" i="7"/>
  <c r="M205" i="7" s="1"/>
  <c r="F122" i="22"/>
  <c r="L179" i="7"/>
  <c r="M179" i="7" s="1"/>
  <c r="G5" i="11"/>
  <c r="L189" i="7"/>
  <c r="C16" i="9"/>
  <c r="D10" i="9"/>
  <c r="E10" i="9" s="1"/>
  <c r="L62" i="9"/>
  <c r="M62" i="9"/>
  <c r="E65" i="11"/>
  <c r="I62" i="9"/>
  <c r="K62" i="9"/>
  <c r="C15" i="9"/>
  <c r="D11" i="9"/>
  <c r="E11" i="9" s="1"/>
  <c r="D13" i="9"/>
  <c r="E13" i="9" s="1"/>
  <c r="E6" i="11"/>
  <c r="C6" i="11"/>
  <c r="D6" i="11"/>
  <c r="D14" i="9"/>
  <c r="E14" i="9" s="1"/>
  <c r="D12" i="9"/>
  <c r="E12" i="9" s="1"/>
  <c r="D9" i="9"/>
  <c r="E9" i="9" s="1"/>
  <c r="D7" i="9"/>
  <c r="E7" i="9" s="1"/>
  <c r="D6" i="9"/>
  <c r="E6" i="9" s="1"/>
  <c r="L70" i="25" l="1"/>
  <c r="Y16" i="9"/>
  <c r="K287" i="22"/>
  <c r="L8" i="11"/>
  <c r="L10" i="11" s="1"/>
  <c r="M8" i="11"/>
  <c r="M10" i="11" s="1"/>
  <c r="G22" i="9"/>
  <c r="M12" i="11" s="1"/>
  <c r="M16" i="11" s="1"/>
  <c r="E20" i="22" s="1"/>
  <c r="G21" i="9"/>
  <c r="G6" i="11"/>
  <c r="F284" i="22"/>
  <c r="F285" i="22" s="1"/>
  <c r="D16" i="9"/>
  <c r="E16" i="9" s="1"/>
  <c r="F115" i="22"/>
  <c r="G115" i="22" s="1"/>
  <c r="F114" i="22"/>
  <c r="G114" i="22" s="1"/>
  <c r="D15" i="9"/>
  <c r="E15" i="9" s="1"/>
  <c r="J18" i="17"/>
  <c r="H77" i="9"/>
  <c r="L287" i="22" l="1"/>
  <c r="L289" i="22" s="1"/>
  <c r="L291" i="22" s="1"/>
  <c r="K289" i="22"/>
  <c r="K291" i="22" s="1"/>
  <c r="Y39" i="9"/>
  <c r="L12" i="11"/>
  <c r="L16" i="11" s="1"/>
  <c r="E19" i="22" s="1"/>
  <c r="F19" i="22" s="1"/>
  <c r="G19" i="22" s="1"/>
  <c r="G71" i="9"/>
  <c r="G76" i="9" s="1"/>
  <c r="G72" i="9"/>
  <c r="J19" i="17"/>
  <c r="F310" i="22" l="1"/>
  <c r="S39" i="9"/>
  <c r="M80" i="9"/>
  <c r="H80" i="9"/>
  <c r="L80" i="9"/>
  <c r="J80" i="9"/>
  <c r="N80" i="9"/>
  <c r="I80" i="9"/>
  <c r="K80" i="9"/>
  <c r="F299" i="22"/>
  <c r="R39" i="9"/>
  <c r="X39" i="9"/>
  <c r="F382" i="22"/>
  <c r="V39" i="9"/>
  <c r="F354" i="22"/>
  <c r="F352" i="22"/>
  <c r="F360" i="22" s="1"/>
  <c r="F367" i="22"/>
  <c r="F375" i="22" s="1"/>
  <c r="W39" i="9"/>
  <c r="F369" i="22"/>
  <c r="F339" i="22"/>
  <c r="F337" i="22"/>
  <c r="F345" i="22" s="1"/>
  <c r="U39" i="9"/>
  <c r="T39" i="9"/>
  <c r="F321" i="22"/>
  <c r="F330" i="22" s="1"/>
  <c r="F20" i="22"/>
  <c r="G20" i="22" s="1"/>
  <c r="G68" i="9"/>
  <c r="G77" i="9" s="1"/>
  <c r="M52" i="11"/>
  <c r="M60" i="11"/>
  <c r="M64" i="11" s="1"/>
  <c r="F362" i="22" l="1"/>
  <c r="F356" i="22"/>
  <c r="I511" i="22" s="1"/>
  <c r="K237" i="22"/>
  <c r="K243" i="22" s="1"/>
  <c r="N71" i="9"/>
  <c r="G237" i="22"/>
  <c r="G243" i="22" s="1"/>
  <c r="E278" i="22" s="1"/>
  <c r="J71" i="9"/>
  <c r="F388" i="22"/>
  <c r="F384" i="22"/>
  <c r="I513" i="22" s="1"/>
  <c r="I237" i="22"/>
  <c r="I243" i="22" s="1"/>
  <c r="K273" i="22" s="1"/>
  <c r="L273" i="22" s="1"/>
  <c r="L71" i="9"/>
  <c r="F237" i="22"/>
  <c r="F243" i="22" s="1"/>
  <c r="I71" i="9"/>
  <c r="I510" i="22"/>
  <c r="F347" i="22"/>
  <c r="F341" i="22"/>
  <c r="O80" i="9"/>
  <c r="H71" i="9"/>
  <c r="E237" i="22"/>
  <c r="F377" i="22"/>
  <c r="F371" i="22"/>
  <c r="I512" i="22" s="1"/>
  <c r="J237" i="22"/>
  <c r="J243" i="22" s="1"/>
  <c r="H278" i="22" s="1"/>
  <c r="M71" i="9"/>
  <c r="F323" i="22"/>
  <c r="F396" i="22" s="1"/>
  <c r="F402" i="22" s="1"/>
  <c r="R18" i="18"/>
  <c r="F394" i="22"/>
  <c r="F400" i="22" s="1"/>
  <c r="F305" i="22"/>
  <c r="F301" i="22"/>
  <c r="I507" i="22" s="1"/>
  <c r="H237" i="22"/>
  <c r="H243" i="22" s="1"/>
  <c r="F278" i="22" s="1"/>
  <c r="K71" i="9"/>
  <c r="F316" i="22"/>
  <c r="F312" i="22"/>
  <c r="I508" i="22" s="1"/>
  <c r="M56" i="11"/>
  <c r="H20" i="22"/>
  <c r="O77" i="9"/>
  <c r="E23" i="18" l="1"/>
  <c r="L45" i="11" s="1"/>
  <c r="K368" i="22" s="1"/>
  <c r="K376" i="22" s="1"/>
  <c r="J38" i="22"/>
  <c r="J74" i="22" s="1"/>
  <c r="J91" i="22" s="1"/>
  <c r="L44" i="11"/>
  <c r="K366" i="22" s="1"/>
  <c r="K374" i="22" s="1"/>
  <c r="G38" i="22"/>
  <c r="G74" i="22" s="1"/>
  <c r="G91" i="22" s="1"/>
  <c r="L29" i="11"/>
  <c r="K320" i="22" s="1"/>
  <c r="B23" i="18"/>
  <c r="I520" i="22"/>
  <c r="K520" i="22" s="1"/>
  <c r="J510" i="22"/>
  <c r="J513" i="22"/>
  <c r="I523" i="22"/>
  <c r="K523" i="22" s="1"/>
  <c r="I522" i="22"/>
  <c r="K522" i="22" s="1"/>
  <c r="J512" i="22"/>
  <c r="J507" i="22"/>
  <c r="I517" i="22"/>
  <c r="K517" i="22" s="1"/>
  <c r="F38" i="22"/>
  <c r="F74" i="22" s="1"/>
  <c r="F91" i="22" s="1"/>
  <c r="L25" i="11"/>
  <c r="K309" i="22" s="1"/>
  <c r="K315" i="22" s="1"/>
  <c r="L49" i="11"/>
  <c r="K381" i="22" s="1"/>
  <c r="K387" i="22" s="1"/>
  <c r="K38" i="22"/>
  <c r="K74" i="22" s="1"/>
  <c r="K91" i="22" s="1"/>
  <c r="F332" i="22"/>
  <c r="F325" i="22"/>
  <c r="I509" i="22" s="1"/>
  <c r="I518" i="22"/>
  <c r="K518" i="22" s="1"/>
  <c r="J508" i="22"/>
  <c r="C23" i="18"/>
  <c r="L35" i="11" s="1"/>
  <c r="K338" i="22" s="1"/>
  <c r="H38" i="22"/>
  <c r="L34" i="11"/>
  <c r="K336" i="22" s="1"/>
  <c r="L237" i="22"/>
  <c r="L243" i="22" s="1"/>
  <c r="E243" i="22"/>
  <c r="L39" i="11"/>
  <c r="K351" i="22" s="1"/>
  <c r="D23" i="18"/>
  <c r="I38" i="22"/>
  <c r="I74" i="22" s="1"/>
  <c r="I91" i="22" s="1"/>
  <c r="I521" i="22"/>
  <c r="K521" i="22" s="1"/>
  <c r="J511" i="22"/>
  <c r="E38" i="22"/>
  <c r="L21" i="11"/>
  <c r="K298" i="22" s="1"/>
  <c r="K299" i="22" s="1"/>
  <c r="O71" i="9"/>
  <c r="R71" i="9" s="1"/>
  <c r="S71" i="9" s="1"/>
  <c r="K369" i="22"/>
  <c r="K370" i="22"/>
  <c r="K367" i="22"/>
  <c r="K375" i="22" s="1"/>
  <c r="K329" i="22"/>
  <c r="K321" i="22"/>
  <c r="K330" i="22" s="1"/>
  <c r="K472" i="22"/>
  <c r="I473" i="22"/>
  <c r="I467" i="22"/>
  <c r="K304" i="22"/>
  <c r="J81" i="9"/>
  <c r="L81" i="9"/>
  <c r="N81" i="9"/>
  <c r="H81" i="9"/>
  <c r="K81" i="9"/>
  <c r="M81" i="9"/>
  <c r="L60" i="11"/>
  <c r="L64" i="11" s="1"/>
  <c r="L52" i="11"/>
  <c r="I81" i="9"/>
  <c r="K300" i="22" l="1"/>
  <c r="G557" i="22" s="1"/>
  <c r="K382" i="22"/>
  <c r="K310" i="22"/>
  <c r="I468" i="22"/>
  <c r="K311" i="22"/>
  <c r="G558" i="22" s="1"/>
  <c r="K393" i="22"/>
  <c r="K399" i="22" s="1"/>
  <c r="K470" i="22"/>
  <c r="K339" i="22"/>
  <c r="K346" i="22"/>
  <c r="K340" i="22"/>
  <c r="G560" i="22" s="1"/>
  <c r="K359" i="22"/>
  <c r="K352" i="22"/>
  <c r="K360" i="22" s="1"/>
  <c r="I519" i="22"/>
  <c r="K519" i="22" s="1"/>
  <c r="J509" i="22"/>
  <c r="L30" i="11"/>
  <c r="K322" i="22" s="1"/>
  <c r="F23" i="18"/>
  <c r="L40" i="11"/>
  <c r="K353" i="22" s="1"/>
  <c r="G278" i="22"/>
  <c r="I278" i="22" s="1"/>
  <c r="L38" i="22"/>
  <c r="E74" i="22"/>
  <c r="E91" i="22" s="1"/>
  <c r="K337" i="22"/>
  <c r="K345" i="22" s="1"/>
  <c r="K344" i="22"/>
  <c r="K383" i="22"/>
  <c r="G563" i="22" s="1"/>
  <c r="H563" i="22" s="1"/>
  <c r="N38" i="22"/>
  <c r="N39" i="22" s="1"/>
  <c r="H74" i="22"/>
  <c r="H91" i="22" s="1"/>
  <c r="L56" i="11"/>
  <c r="H19" i="22"/>
  <c r="H557" i="22"/>
  <c r="J557" i="22"/>
  <c r="H558" i="22"/>
  <c r="J558" i="22"/>
  <c r="K384" i="22"/>
  <c r="K388" i="22"/>
  <c r="K371" i="22"/>
  <c r="G562" i="22" s="1"/>
  <c r="K377" i="22"/>
  <c r="K316" i="22"/>
  <c r="K312" i="22"/>
  <c r="K301" i="22"/>
  <c r="K305" i="22"/>
  <c r="H72" i="9"/>
  <c r="E238" i="22"/>
  <c r="H479" i="22"/>
  <c r="L467" i="22"/>
  <c r="M467" i="22" s="1"/>
  <c r="I474" i="22"/>
  <c r="H486" i="22" s="1"/>
  <c r="H480" i="22"/>
  <c r="L468" i="22"/>
  <c r="M468" i="22" s="1"/>
  <c r="H485" i="22"/>
  <c r="L473" i="22"/>
  <c r="M473" i="22" s="1"/>
  <c r="M72" i="9"/>
  <c r="J39" i="22" s="1"/>
  <c r="J75" i="22" s="1"/>
  <c r="J92" i="22" s="1"/>
  <c r="J238" i="22"/>
  <c r="J244" i="22" s="1"/>
  <c r="H279" i="22" s="1"/>
  <c r="K72" i="9"/>
  <c r="H39" i="22" s="1"/>
  <c r="H75" i="22" s="1"/>
  <c r="H238" i="22"/>
  <c r="H244" i="22" s="1"/>
  <c r="F279" i="22" s="1"/>
  <c r="I72" i="9"/>
  <c r="F39" i="22" s="1"/>
  <c r="F75" i="22" s="1"/>
  <c r="F92" i="22" s="1"/>
  <c r="F238" i="22"/>
  <c r="F244" i="22" s="1"/>
  <c r="N72" i="9"/>
  <c r="K238" i="22"/>
  <c r="K244" i="22" s="1"/>
  <c r="L72" i="9"/>
  <c r="I39" i="22" s="1"/>
  <c r="I75" i="22" s="1"/>
  <c r="I92" i="22" s="1"/>
  <c r="I238" i="22"/>
  <c r="I244" i="22" s="1"/>
  <c r="K274" i="22" s="1"/>
  <c r="L274" i="22" s="1"/>
  <c r="J72" i="9"/>
  <c r="B24" i="18" s="1"/>
  <c r="G238" i="22"/>
  <c r="G244" i="22" s="1"/>
  <c r="E279" i="22" s="1"/>
  <c r="L472" i="22"/>
  <c r="M472" i="22" s="1"/>
  <c r="J484" i="22"/>
  <c r="O81" i="9"/>
  <c r="L65" i="11"/>
  <c r="M65" i="11"/>
  <c r="F17" i="18"/>
  <c r="F58" i="11" s="1"/>
  <c r="L53" i="11"/>
  <c r="J563" i="22" l="1"/>
  <c r="K394" i="22"/>
  <c r="K400" i="22" s="1"/>
  <c r="H92" i="22"/>
  <c r="H560" i="22"/>
  <c r="J560" i="22"/>
  <c r="K361" i="22"/>
  <c r="K471" i="22"/>
  <c r="K355" i="22"/>
  <c r="G561" i="22" s="1"/>
  <c r="K354" i="22"/>
  <c r="K395" i="22"/>
  <c r="K401" i="22" s="1"/>
  <c r="K347" i="22"/>
  <c r="K341" i="22"/>
  <c r="K323" i="22"/>
  <c r="K469" i="22"/>
  <c r="K324" i="22"/>
  <c r="G559" i="22" s="1"/>
  <c r="K331" i="22"/>
  <c r="J482" i="22"/>
  <c r="L470" i="22"/>
  <c r="M470" i="22" s="1"/>
  <c r="I19" i="22"/>
  <c r="J19" i="22" s="1"/>
  <c r="I20" i="22"/>
  <c r="J20" i="22" s="1"/>
  <c r="K563" i="22"/>
  <c r="F573" i="22"/>
  <c r="K557" i="22"/>
  <c r="F567" i="22"/>
  <c r="K558" i="22"/>
  <c r="F568" i="22"/>
  <c r="H562" i="22"/>
  <c r="J562" i="22"/>
  <c r="M25" i="11"/>
  <c r="L309" i="22" s="1"/>
  <c r="G39" i="22"/>
  <c r="G75" i="22" s="1"/>
  <c r="G92" i="22" s="1"/>
  <c r="M30" i="11"/>
  <c r="C24" i="18"/>
  <c r="M35" i="11" s="1"/>
  <c r="L238" i="22"/>
  <c r="L244" i="22" s="1"/>
  <c r="E244" i="22"/>
  <c r="E39" i="22"/>
  <c r="E24" i="18"/>
  <c r="M45" i="11" s="1"/>
  <c r="K39" i="22"/>
  <c r="K75" i="22" s="1"/>
  <c r="K92" i="22" s="1"/>
  <c r="D24" i="18"/>
  <c r="G279" i="22" s="1"/>
  <c r="I279" i="22" s="1"/>
  <c r="M29" i="11"/>
  <c r="N16" i="11"/>
  <c r="L57" i="11"/>
  <c r="M34" i="11"/>
  <c r="M39" i="11"/>
  <c r="M44" i="11"/>
  <c r="M49" i="11"/>
  <c r="M21" i="11"/>
  <c r="O72" i="9"/>
  <c r="L54" i="11"/>
  <c r="L58" i="11" s="1"/>
  <c r="K362" i="22" l="1"/>
  <c r="K356" i="22"/>
  <c r="K396" i="22"/>
  <c r="K402" i="22" s="1"/>
  <c r="H561" i="22"/>
  <c r="J561" i="22"/>
  <c r="H559" i="22"/>
  <c r="J559" i="22"/>
  <c r="L471" i="22"/>
  <c r="M471" i="22" s="1"/>
  <c r="J483" i="22"/>
  <c r="J481" i="22"/>
  <c r="J486" i="22" s="1"/>
  <c r="K474" i="22"/>
  <c r="L469" i="22"/>
  <c r="M469" i="22" s="1"/>
  <c r="K325" i="22"/>
  <c r="K332" i="22"/>
  <c r="F570" i="22"/>
  <c r="K560" i="22"/>
  <c r="K562" i="22"/>
  <c r="F572" i="22"/>
  <c r="L310" i="22"/>
  <c r="L311" i="22"/>
  <c r="G568" i="22" s="1"/>
  <c r="H568" i="22" s="1"/>
  <c r="M40" i="11"/>
  <c r="L353" i="22" s="1"/>
  <c r="L361" i="22" s="1"/>
  <c r="F24" i="18"/>
  <c r="L336" i="22"/>
  <c r="L322" i="22"/>
  <c r="L368" i="22"/>
  <c r="L376" i="22" s="1"/>
  <c r="L351" i="22"/>
  <c r="L359" i="22" s="1"/>
  <c r="L298" i="22"/>
  <c r="L320" i="22"/>
  <c r="L381" i="22"/>
  <c r="L387" i="22" s="1"/>
  <c r="I480" i="22"/>
  <c r="L315" i="22"/>
  <c r="L39" i="22"/>
  <c r="E75" i="22"/>
  <c r="E92" i="22" s="1"/>
  <c r="L366" i="22"/>
  <c r="L374" i="22" s="1"/>
  <c r="L338" i="22"/>
  <c r="R72" i="9"/>
  <c r="S72" i="9" s="1"/>
  <c r="F18" i="18"/>
  <c r="G58" i="11" s="1"/>
  <c r="M53" i="11"/>
  <c r="O16" i="11" s="1"/>
  <c r="F569" i="22" l="1"/>
  <c r="K559" i="22"/>
  <c r="K561" i="22"/>
  <c r="F571" i="22"/>
  <c r="L480" i="22"/>
  <c r="M480" i="22" s="1"/>
  <c r="I493" i="22"/>
  <c r="L493" i="22" s="1"/>
  <c r="L383" i="22"/>
  <c r="G573" i="22" s="1"/>
  <c r="H573" i="22" s="1"/>
  <c r="L382" i="22"/>
  <c r="K483" i="22"/>
  <c r="L370" i="22"/>
  <c r="G572" i="22" s="1"/>
  <c r="H572" i="22" s="1"/>
  <c r="L369" i="22"/>
  <c r="L367" i="22"/>
  <c r="L375" i="22" s="1"/>
  <c r="L352" i="22"/>
  <c r="L360" i="22" s="1"/>
  <c r="L355" i="22"/>
  <c r="G571" i="22" s="1"/>
  <c r="H571" i="22" s="1"/>
  <c r="L354" i="22"/>
  <c r="L339" i="22"/>
  <c r="L340" i="22"/>
  <c r="G570" i="22" s="1"/>
  <c r="H570" i="22" s="1"/>
  <c r="L344" i="22"/>
  <c r="L337" i="22"/>
  <c r="L345" i="22" s="1"/>
  <c r="L329" i="22"/>
  <c r="L321" i="22"/>
  <c r="L330" i="22" s="1"/>
  <c r="L323" i="22"/>
  <c r="L324" i="22"/>
  <c r="G569" i="22" s="1"/>
  <c r="H569" i="22" s="1"/>
  <c r="L316" i="22"/>
  <c r="L312" i="22"/>
  <c r="L299" i="22"/>
  <c r="L300" i="22"/>
  <c r="G567" i="22" s="1"/>
  <c r="H567" i="22" s="1"/>
  <c r="K482" i="22"/>
  <c r="L346" i="22"/>
  <c r="L395" i="22"/>
  <c r="L401" i="22" s="1"/>
  <c r="K484" i="22"/>
  <c r="K481" i="22"/>
  <c r="K494" i="22" s="1"/>
  <c r="L331" i="22"/>
  <c r="L304" i="22"/>
  <c r="I479" i="22"/>
  <c r="I492" i="22" s="1"/>
  <c r="L393" i="22"/>
  <c r="L399" i="22" s="1"/>
  <c r="I485" i="22"/>
  <c r="M57" i="11"/>
  <c r="M54" i="11"/>
  <c r="M58" i="11" s="1"/>
  <c r="L492" i="22" l="1"/>
  <c r="L483" i="22"/>
  <c r="M483" i="22" s="1"/>
  <c r="K496" i="22"/>
  <c r="L484" i="22"/>
  <c r="M484" i="22" s="1"/>
  <c r="K497" i="22"/>
  <c r="L494" i="22"/>
  <c r="L485" i="22"/>
  <c r="M485" i="22" s="1"/>
  <c r="I498" i="22"/>
  <c r="L498" i="22" s="1"/>
  <c r="H499" i="22"/>
  <c r="L482" i="22"/>
  <c r="M482" i="22" s="1"/>
  <c r="K495" i="22"/>
  <c r="L495" i="22" s="1"/>
  <c r="L396" i="22"/>
  <c r="L402" i="22" s="1"/>
  <c r="L394" i="22"/>
  <c r="L400" i="22" s="1"/>
  <c r="L384" i="22"/>
  <c r="L388" i="22"/>
  <c r="L371" i="22"/>
  <c r="L377" i="22"/>
  <c r="L356" i="22"/>
  <c r="L362" i="22"/>
  <c r="L341" i="22"/>
  <c r="L347" i="22"/>
  <c r="L332" i="22"/>
  <c r="L325" i="22"/>
  <c r="L305" i="22"/>
  <c r="L301" i="22"/>
  <c r="I486" i="22"/>
  <c r="L479" i="22"/>
  <c r="M479" i="22" s="1"/>
  <c r="K486" i="22"/>
  <c r="L481" i="22"/>
  <c r="M481" i="22" s="1"/>
  <c r="K499" i="22" l="1"/>
  <c r="L497" i="22"/>
  <c r="L496" i="22"/>
  <c r="I499" i="22"/>
</calcChain>
</file>

<file path=xl/comments1.xml><?xml version="1.0" encoding="utf-8"?>
<comments xmlns="http://schemas.openxmlformats.org/spreadsheetml/2006/main">
  <authors>
    <author>mwanner</author>
    <author>Bacon, Bruce</author>
  </authors>
  <commentList>
    <comment ref="N11" authorId="0" shapeId="0">
      <text>
        <r>
          <rPr>
            <b/>
            <sz val="8"/>
            <color indexed="81"/>
            <rFont val="Tahoma"/>
            <family val="2"/>
          </rPr>
          <t>mwanner:</t>
        </r>
        <r>
          <rPr>
            <sz val="8"/>
            <color indexed="81"/>
            <rFont val="Tahoma"/>
            <family val="2"/>
          </rPr>
          <t xml:space="preserve">
Cogeco dropped of in May 2010 - represented 56 of the 76 connections</t>
        </r>
      </text>
    </comment>
    <comment ref="K39" authorId="1" shapeId="0">
      <text>
        <r>
          <rPr>
            <sz val="9"/>
            <color indexed="81"/>
            <rFont val="Tahoma"/>
            <family val="2"/>
          </rPr>
          <t xml:space="preserve">Not Used
</t>
        </r>
      </text>
    </comment>
  </commentList>
</comments>
</file>

<file path=xl/comments2.xml><?xml version="1.0" encoding="utf-8"?>
<comments xmlns="http://schemas.openxmlformats.org/spreadsheetml/2006/main">
  <authors>
    <author>Micheal Roth</author>
  </authors>
  <commentList>
    <comment ref="D54" authorId="0" shapeId="0">
      <text>
        <r>
          <rPr>
            <b/>
            <sz val="9"/>
            <color indexed="81"/>
            <rFont val="Tahoma"/>
            <family val="2"/>
          </rPr>
          <t>Micheal Roth:</t>
        </r>
        <r>
          <rPr>
            <sz val="9"/>
            <color indexed="81"/>
            <rFont val="Tahoma"/>
            <family val="2"/>
          </rPr>
          <t xml:space="preserve">
used 2019
</t>
        </r>
      </text>
    </comment>
  </commentList>
</comments>
</file>

<file path=xl/sharedStrings.xml><?xml version="1.0" encoding="utf-8"?>
<sst xmlns="http://schemas.openxmlformats.org/spreadsheetml/2006/main" count="728" uniqueCount="291">
  <si>
    <t>Purchased</t>
  </si>
  <si>
    <t>Loss Factor</t>
  </si>
  <si>
    <t xml:space="preserve">Residential </t>
  </si>
  <si>
    <t>Total Billed</t>
  </si>
  <si>
    <t>Heating Degree Days</t>
  </si>
  <si>
    <t>Cooling Degree Days</t>
  </si>
  <si>
    <t>Number of Days in Month</t>
  </si>
  <si>
    <t>Purchases</t>
  </si>
  <si>
    <t>Modeled Purchases</t>
  </si>
  <si>
    <t>% Difference</t>
  </si>
  <si>
    <t>Total</t>
  </si>
  <si>
    <t xml:space="preserve">Predicted Purchases </t>
  </si>
  <si>
    <t>Variances (kWh)</t>
  </si>
  <si>
    <t>Average</t>
  </si>
  <si>
    <t xml:space="preserve">Geomean </t>
  </si>
  <si>
    <t>Usage Per Customer</t>
  </si>
  <si>
    <t xml:space="preserve">Total </t>
  </si>
  <si>
    <t xml:space="preserve">Used </t>
  </si>
  <si>
    <t>Spring Fall Flag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</si>
  <si>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</si>
  <si>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</si>
  <si>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</si>
  <si>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</si>
  <si>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</si>
  <si>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</si>
  <si>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</si>
  <si>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</si>
  <si>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</si>
  <si>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</si>
  <si>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</si>
  <si>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</si>
  <si>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</si>
  <si>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</si>
  <si>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</si>
  <si>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</si>
  <si>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</si>
  <si>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</si>
  <si>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</si>
  <si>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</si>
  <si>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Difference</t>
  </si>
  <si>
    <t xml:space="preserve">Growth Rate in Customer Numbers </t>
  </si>
  <si>
    <t>Non Weather Corrected Forecast</t>
  </si>
  <si>
    <t>% Weather Sensitive</t>
  </si>
  <si>
    <t>Allocation of Weather Sensitive Amount</t>
  </si>
  <si>
    <t xml:space="preserve">  Customers</t>
  </si>
  <si>
    <t xml:space="preserve">  kWh</t>
  </si>
  <si>
    <t xml:space="preserve">  kW</t>
  </si>
  <si>
    <t xml:space="preserve">  Connections</t>
  </si>
  <si>
    <t xml:space="preserve">  kW from applicable classes</t>
  </si>
  <si>
    <t xml:space="preserve">  Customer/Connections</t>
  </si>
  <si>
    <t>Actual kWh Purchases</t>
  </si>
  <si>
    <t>Predicted kWh Purchases</t>
  </si>
  <si>
    <t>By Class</t>
  </si>
  <si>
    <t>Billed kWh</t>
  </si>
  <si>
    <t>Used</t>
  </si>
  <si>
    <r>
      <t xml:space="preserve">General Service </t>
    </r>
    <r>
      <rPr>
        <u/>
        <sz val="10"/>
        <rFont val="Arial"/>
        <family val="2"/>
      </rPr>
      <t>&lt; 50 kW</t>
    </r>
  </si>
  <si>
    <t>kW/kWh</t>
  </si>
  <si>
    <t>TOTAL</t>
  </si>
  <si>
    <t>Weather Normal Projection</t>
  </si>
  <si>
    <t>Check totals</t>
  </si>
  <si>
    <t>hydro one cost allocation file - load data file I8</t>
  </si>
  <si>
    <t>Arithmetic Mean</t>
  </si>
  <si>
    <t xml:space="preserve">  Customer</t>
  </si>
  <si>
    <t>Total Adjusted Predicted Purchases</t>
  </si>
  <si>
    <t>Total Adjusted Sales</t>
  </si>
  <si>
    <t>Year</t>
  </si>
  <si>
    <t>Billed (GWh)</t>
  </si>
  <si>
    <t>Growth 
(GWh)</t>
  </si>
  <si>
    <t>Percent 
Change</t>
  </si>
  <si>
    <t>Customer/
Connection
Count</t>
  </si>
  <si>
    <t xml:space="preserve">Growth </t>
  </si>
  <si>
    <t>Percent 
Change
(%)</t>
  </si>
  <si>
    <t>Billed Energy (GWh) and Customer Count / Connections</t>
  </si>
  <si>
    <t>Billed Energy (GWh)</t>
  </si>
  <si>
    <t>Number of Customers/Connections</t>
  </si>
  <si>
    <t>Energy Usage per Customer/Connection (kWh per customer/connection)</t>
  </si>
  <si>
    <t>Annual Growth Rate in Usage per Customer/Connection</t>
  </si>
  <si>
    <t>Statistic</t>
  </si>
  <si>
    <t>Value</t>
  </si>
  <si>
    <t>F Test</t>
  </si>
  <si>
    <t>T-stats by Coefficient</t>
  </si>
  <si>
    <t xml:space="preserve">Actual </t>
  </si>
  <si>
    <t xml:space="preserve">Predicted </t>
  </si>
  <si>
    <t>Purchased Energy (GWh)</t>
  </si>
  <si>
    <t>Growth Rate in Customers/Connections</t>
  </si>
  <si>
    <t>Forecast number of Customers/Connections</t>
  </si>
  <si>
    <t xml:space="preserve">Annual kWh Usage Per Customer/Connection </t>
  </si>
  <si>
    <t>Growth Rate in Customer/Connection</t>
  </si>
  <si>
    <t>Forecast Annual kWh Usage per Customers/Connection</t>
  </si>
  <si>
    <t>NON-normalized Weather Billed Energy Forecast (GWh)</t>
  </si>
  <si>
    <t>Weather Sensitivity</t>
  </si>
  <si>
    <t>Non-normalized Weather Billed Energy Forecast (GWh)</t>
  </si>
  <si>
    <t>Adjustment for Weather (GWh)</t>
  </si>
  <si>
    <t>Weather Normalized Billed Energy Forecast (GWh)</t>
  </si>
  <si>
    <t>Billed Annual kW</t>
  </si>
  <si>
    <t>Ratio of kW to kWh</t>
  </si>
  <si>
    <t>Predicted Billed kW</t>
  </si>
  <si>
    <t>% Difference between actual and predicted purchases</t>
  </si>
  <si>
    <t>Residential</t>
  </si>
  <si>
    <t>HDD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</si>
  <si>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</si>
  <si>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</si>
  <si>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</si>
  <si>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</si>
  <si>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</si>
  <si>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</si>
  <si>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</si>
  <si>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</si>
  <si>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</si>
  <si>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</si>
  <si>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</si>
  <si>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</si>
  <si>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CDD</t>
  </si>
  <si>
    <t>10 year Avg</t>
  </si>
  <si>
    <t>20 yr trend</t>
  </si>
  <si>
    <t>Adjustment for CDM (GWh)</t>
  </si>
  <si>
    <t>Predicted kWh Purchases before CDM adjustment</t>
  </si>
  <si>
    <t>CDM Adjustment</t>
  </si>
  <si>
    <t>Geo Mean</t>
  </si>
  <si>
    <t xml:space="preserve">Total Customer Count - Resi / GS </t>
  </si>
  <si>
    <t>Street Lights</t>
  </si>
  <si>
    <t>Sentinal Lights</t>
  </si>
  <si>
    <t>USL</t>
  </si>
  <si>
    <t>2010 Actual</t>
  </si>
  <si>
    <t>Intercept</t>
  </si>
  <si>
    <t>CoS</t>
  </si>
  <si>
    <t>2011 Actual</t>
  </si>
  <si>
    <t>Approved Loss Factor</t>
  </si>
  <si>
    <t>2012 Actual</t>
  </si>
  <si>
    <t>kWh</t>
  </si>
  <si>
    <t>NOTES:</t>
  </si>
  <si>
    <t>2013 Actual</t>
  </si>
  <si>
    <t>20 year trend numbers:</t>
  </si>
  <si>
    <t>North Bay  Economy</t>
  </si>
  <si>
    <t>Using 12 month avg. customer #</t>
  </si>
  <si>
    <t>5 year average</t>
  </si>
  <si>
    <t xml:space="preserve">2010 Actual </t>
  </si>
  <si>
    <t xml:space="preserve">2011 Actual </t>
  </si>
  <si>
    <t xml:space="preserve">2012 Actual </t>
  </si>
  <si>
    <t xml:space="preserve">2013 Actual </t>
  </si>
  <si>
    <t>% Variance - Absolute</t>
  </si>
  <si>
    <t xml:space="preserve">MAPE (Monthly) </t>
  </si>
  <si>
    <t>Street Lighting</t>
  </si>
  <si>
    <t>Sentinel Lighting</t>
  </si>
  <si>
    <r>
      <t>General Service</t>
    </r>
    <r>
      <rPr>
        <u/>
        <sz val="10"/>
        <rFont val="Arial"/>
        <family val="2"/>
      </rPr>
      <t xml:space="preserve"> 50 to 2999 kW</t>
    </r>
  </si>
  <si>
    <r>
      <t xml:space="preserve">General Service </t>
    </r>
    <r>
      <rPr>
        <u/>
        <sz val="10"/>
        <rFont val="Arial"/>
        <family val="2"/>
      </rPr>
      <t>3000 to 4999 kW</t>
    </r>
  </si>
  <si>
    <t xml:space="preserve">Unmetered Scattered Load </t>
  </si>
  <si>
    <t>Total Billed Before Adjustments</t>
  </si>
  <si>
    <t>Total Billed After Adjustments</t>
  </si>
  <si>
    <t xml:space="preserve">  Variance Analysis Compare to Board Approved</t>
  </si>
  <si>
    <t>Customer/Connections</t>
  </si>
  <si>
    <t xml:space="preserve">kW </t>
  </si>
  <si>
    <t>Volumeteric Difference</t>
  </si>
  <si>
    <t>Billing Determinants</t>
  </si>
  <si>
    <t>Constant</t>
  </si>
  <si>
    <t>Total in Year</t>
  </si>
  <si>
    <t>2015 CDM Programs</t>
  </si>
  <si>
    <t>Average - 2 year</t>
  </si>
  <si>
    <t>North Bay Hydro Distribution Ltd. Weather Normal Load Forecast for 2015 Budget</t>
  </si>
  <si>
    <t>Using 3 years</t>
  </si>
  <si>
    <t>2014 Actual</t>
  </si>
  <si>
    <t>Lower 95.0%</t>
  </si>
  <si>
    <t>Upper 95.0%</t>
  </si>
  <si>
    <t>2020/2021 Forecast Summary:</t>
  </si>
  <si>
    <t>Total to 2019</t>
  </si>
  <si>
    <t>MAPE (Mean Absolute % Error) - Direct relationship to Rsquare value</t>
  </si>
  <si>
    <t>Weather Corrected Forecast</t>
  </si>
  <si>
    <t>average is 2017 - 2019 - 3 year average</t>
  </si>
  <si>
    <t>Prior App incorporated CoGen at NBHRC</t>
  </si>
  <si>
    <t>2015 Actual</t>
  </si>
  <si>
    <t>2016 Actual</t>
  </si>
  <si>
    <t>2017 Actual</t>
  </si>
  <si>
    <t>2018 Actual</t>
  </si>
  <si>
    <t>2019 Actual</t>
  </si>
  <si>
    <t>2020 Weather Normal</t>
  </si>
  <si>
    <t>2021 Weather Normal</t>
  </si>
  <si>
    <t>USING 5 YR</t>
  </si>
  <si>
    <t>CEP</t>
  </si>
  <si>
    <t>AFTER CEP</t>
  </si>
  <si>
    <t>2021 VAR</t>
  </si>
  <si>
    <t>2020 VAR</t>
  </si>
  <si>
    <t>CEP impact uplift</t>
  </si>
  <si>
    <t>CEP / 2019LRAM REDUCTION</t>
  </si>
  <si>
    <t>kW</t>
  </si>
  <si>
    <t>PRIOR TO CEP/LRAM REDUCTION</t>
  </si>
  <si>
    <t>NB: Manual reduction from LRAM FILE</t>
  </si>
  <si>
    <t>MANUAL Reduction</t>
  </si>
  <si>
    <t>2015 Board Approved</t>
  </si>
  <si>
    <t xml:space="preserve">2014 Actual </t>
  </si>
  <si>
    <t xml:space="preserve">2015 Actual </t>
  </si>
  <si>
    <t xml:space="preserve">2016 Actual </t>
  </si>
  <si>
    <t xml:space="preserve">2017 Actual </t>
  </si>
  <si>
    <t xml:space="preserve">2018 Actual </t>
  </si>
  <si>
    <t xml:space="preserve">2019 Actual </t>
  </si>
  <si>
    <t>2020 Bridge - Normalized</t>
  </si>
  <si>
    <t>2021 Test - Normalized</t>
  </si>
  <si>
    <t xml:space="preserve"> 2015 Board Approved vs 2015 Actual</t>
  </si>
  <si>
    <t>Geo Mean - 2017 to 2019</t>
  </si>
  <si>
    <t>2021 (Not Normalized)</t>
  </si>
  <si>
    <t>Average 2017-2019</t>
  </si>
  <si>
    <t>2020 (Not Normalized)</t>
  </si>
  <si>
    <t xml:space="preserve">2015 Board Approved </t>
  </si>
  <si>
    <t>2020 Bridge</t>
  </si>
  <si>
    <t>2021 Test</t>
  </si>
  <si>
    <t>2015 APPROVED</t>
  </si>
  <si>
    <t>CDM Impact - Uplifted</t>
  </si>
  <si>
    <t>Loss of Customer  Impact</t>
  </si>
  <si>
    <t>CDM Impact</t>
  </si>
  <si>
    <t>General Service &lt; 50 kW</t>
  </si>
  <si>
    <t>General Service 50 to 2999 kW</t>
  </si>
  <si>
    <t>General Service 3000 to 4999 kW</t>
  </si>
  <si>
    <t>2015 Weather Normal</t>
  </si>
  <si>
    <t>2021 Test - Normalized - 20 year trend</t>
  </si>
  <si>
    <t>2015 rates</t>
  </si>
  <si>
    <t>INT RATES</t>
  </si>
  <si>
    <t>10 year avg</t>
  </si>
  <si>
    <t>NB: this makes sense since other variable are static</t>
  </si>
  <si>
    <t>Leap Year</t>
  </si>
  <si>
    <t>Scale down by in year loss factor</t>
  </si>
  <si>
    <t>Actual</t>
  </si>
  <si>
    <t>VAR</t>
  </si>
  <si>
    <t>Weather Normaized - 10yr</t>
  </si>
  <si>
    <t>10year Avg</t>
  </si>
  <si>
    <t xml:space="preserve">  kWh - Actuals</t>
  </si>
  <si>
    <t xml:space="preserve">  kWh - weather normalized</t>
  </si>
  <si>
    <t xml:space="preserve">  kWh per customer - Actual</t>
  </si>
  <si>
    <t xml:space="preserve">  kWh per customer - weather norm.</t>
  </si>
  <si>
    <t xml:space="preserve">  kW - Actuals</t>
  </si>
  <si>
    <t xml:space="preserve">  kW - Weather Normaiized</t>
  </si>
  <si>
    <t xml:space="preserve">  kW per customer - Actual</t>
  </si>
  <si>
    <t xml:space="preserve">  kW per customer - weather norm.</t>
  </si>
  <si>
    <t xml:space="preserve">  kWh- Weather Normailized</t>
  </si>
  <si>
    <t xml:space="preserve">  kW from applicable classes - wn</t>
  </si>
  <si>
    <t>EX1 Table</t>
  </si>
  <si>
    <t>kWh/kW</t>
  </si>
  <si>
    <t>2015 Weather Actual</t>
  </si>
  <si>
    <t>Variance</t>
  </si>
  <si>
    <t>2015 Weather Normalized</t>
  </si>
  <si>
    <t>Weather Actual</t>
  </si>
  <si>
    <t>Weather Normalized</t>
  </si>
  <si>
    <t>2020 (WN)</t>
  </si>
  <si>
    <t>Average Consumption or Demand per Customer/Connection</t>
  </si>
  <si>
    <t>CEP - Manual Adjustment</t>
  </si>
  <si>
    <t>Use 10 yr average of heating and cooling degree days and recalc the model for historical period.</t>
  </si>
  <si>
    <t>Table 3-2</t>
  </si>
  <si>
    <t>Table 3-3</t>
  </si>
  <si>
    <t>Table 3-4</t>
  </si>
  <si>
    <t>Table 3-5</t>
  </si>
  <si>
    <t>Table 3-6</t>
  </si>
  <si>
    <t>Table 3-7</t>
  </si>
  <si>
    <t>Table 3-8</t>
  </si>
  <si>
    <t>Table 3-9</t>
  </si>
  <si>
    <t>Table 3-10</t>
  </si>
  <si>
    <t>Table 3-11</t>
  </si>
  <si>
    <t>Table 3-12</t>
  </si>
  <si>
    <t>Table 3-13</t>
  </si>
  <si>
    <t>Table 3-14</t>
  </si>
  <si>
    <t>Former CFF 6 year (2015-2020) kWh Target: 20,260,000 kWh</t>
  </si>
  <si>
    <t>2016 CDM Programs</t>
  </si>
  <si>
    <t>2017 CDM Programs</t>
  </si>
  <si>
    <t>2018 CDM Programs</t>
  </si>
  <si>
    <t>2019 CDM Programs</t>
  </si>
  <si>
    <t>Table 3-15</t>
  </si>
  <si>
    <t>GS &lt; 50 kW</t>
  </si>
  <si>
    <t>GS 50 to 2,999 kW</t>
  </si>
  <si>
    <t>2021 Manual adjustment kWh</t>
  </si>
  <si>
    <t>Less CEP</t>
  </si>
  <si>
    <t>NBHDL CEP Adj</t>
  </si>
  <si>
    <t>Total Manual Adjustment</t>
  </si>
  <si>
    <t>2021 Manual adjustment kW</t>
  </si>
  <si>
    <t>Table 3-16</t>
  </si>
  <si>
    <t>Table 3-17</t>
  </si>
  <si>
    <t>Table 3-18</t>
  </si>
  <si>
    <t>Table 3-19</t>
  </si>
  <si>
    <t>Table 3-20</t>
  </si>
  <si>
    <t>Table 3-21</t>
  </si>
  <si>
    <t>Table 3-22</t>
  </si>
  <si>
    <t>Table 3-24</t>
  </si>
  <si>
    <t>Table 3-26</t>
  </si>
  <si>
    <t>Table 3-28</t>
  </si>
  <si>
    <t>Table 3-30</t>
  </si>
  <si>
    <t>Table 3-32</t>
  </si>
  <si>
    <t>Table 3-34</t>
  </si>
  <si>
    <t>Table 3-36</t>
  </si>
  <si>
    <t>Table 3-24 XX</t>
  </si>
  <si>
    <t>Table 3-26 XX</t>
  </si>
  <si>
    <t>Table 3-28 XX</t>
  </si>
  <si>
    <t>Table 3-30 XX</t>
  </si>
  <si>
    <t>Table 3-32 XX</t>
  </si>
  <si>
    <t>Table 3-34 XX</t>
  </si>
  <si>
    <t>Table 3-36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</si>
</sst>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_);\(&quot;$&quot;#,##0\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0.0%"/>
    <numFmt numFmtId="169" formatCode="0.0"/>
    <numFmt numFmtId="170" formatCode="0.0%;\(0.0%\)"/>
    <numFmt numFmtId="171" formatCode="#,##0;\(#,##0\)"/>
    <numFmt numFmtId="172" formatCode="0.0000"/>
    <numFmt numFmtId="173" formatCode="#,##0.0000"/>
    <numFmt numFmtId="174" formatCode="0.0000%"/>
    <numFmt numFmtId="175" formatCode="_(* #,##0.0_);_(* \(#,##0.0\);_(* &quot;-&quot;??_);_(@_)"/>
    <numFmt numFmtId="176" formatCode="_(* #,##0_);_(* \(#,##0\);_(* &quot;-&quot;??_);_(@_)"/>
    <numFmt numFmtId="177" formatCode="#,##0.0"/>
    <numFmt numFmtId="178" formatCode="_(* #,##0.000000_);_(* \(#,##0.000000\);_(* &quot;-&quot;??_);_(@_)"/>
    <numFmt numFmtId="179" formatCode="#,##0.0;\(#,##0.0\)"/>
    <numFmt numFmtId="180" formatCode="0.0000%;\(0.0%\)"/>
    <numFmt numFmtId="181" formatCode="0.0;\(0.0\)"/>
    <numFmt numFmtId="182" formatCode="&quot;£ &quot;#,##0.00;[Red]\-&quot;£ &quot;#,##0.00"/>
    <numFmt numFmtId="183" formatCode="##\-#"/>
    <numFmt numFmtId="184" formatCode="mm/dd/yyyy"/>
    <numFmt numFmtId="185" formatCode="0\-0"/>
    <numFmt numFmtId="186" formatCode="_(* #,##0.00000_);_(* \(#,##0.00000\);_(* &quot;-&quot;??_);_(@_)"/>
    <numFmt numFmtId="187" formatCode="0.00%;\(0.00%\)"/>
    <numFmt numFmtId="188" formatCode="0;\(0\)"/>
    <numFmt numFmtId="189" formatCode="#,##0_ ;\-#,##0\ "/>
    <numFmt numFmtId="190" formatCode="0.000%"/>
    <numFmt numFmtId="191" formatCode="#,##0_ ;[Red]\-#,##0\ "/>
  </numFmts>
  <fonts count="7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0"/>
      <color indexed="12"/>
      <name val="Arial"/>
      <family val="2"/>
    </font>
    <font>
      <b/>
      <sz val="8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Arial"/>
      <family val="2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8"/>
      <color indexed="81"/>
      <name val="Tahoma"/>
      <family val="2"/>
    </font>
    <font>
      <b/>
      <u/>
      <sz val="10"/>
      <name val="Arial"/>
      <family val="2"/>
    </font>
    <font>
      <b/>
      <sz val="8"/>
      <color indexed="81"/>
      <name val="Tahoma"/>
      <family val="2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indexed="20"/>
      <name val="Calibri"/>
      <family val="2"/>
    </font>
    <font>
      <sz val="10"/>
      <color rgb="FF0070C0"/>
      <name val="Arial"/>
      <family val="2"/>
    </font>
    <font>
      <b/>
      <sz val="10"/>
      <color rgb="FFFF000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9"/>
      <color theme="1"/>
      <name val="Calibri"/>
      <family val="2"/>
      <scheme val="minor"/>
    </font>
  </fonts>
  <fills count="6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B8C7DC"/>
        <bgColor rgb="FF000000"/>
      </patternFill>
    </fill>
    <fill>
      <patternFill patternType="solid">
        <fgColor rgb="FFB8C7DC"/>
        <bgColor indexed="64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45">
    <xf numFmtId="0" fontId="0" fillId="0" borderId="0"/>
    <xf numFmtId="175" fontId="4" fillId="0" borderId="0"/>
    <xf numFmtId="177" fontId="4" fillId="0" borderId="0"/>
    <xf numFmtId="184" fontId="4" fillId="0" borderId="0"/>
    <xf numFmtId="185" fontId="4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3" borderId="0" applyNumberFormat="0" applyBorder="0" applyAlignment="0" applyProtection="0"/>
    <xf numFmtId="0" fontId="15" fillId="20" borderId="1" applyNumberFormat="0" applyAlignment="0" applyProtection="0"/>
    <xf numFmtId="0" fontId="16" fillId="21" borderId="2" applyNumberFormat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4" fontId="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2" fontId="4" fillId="0" borderId="0" applyFont="0" applyFill="0" applyBorder="0" applyAlignment="0" applyProtection="0"/>
    <xf numFmtId="0" fontId="18" fillId="4" borderId="0" applyNumberFormat="0" applyBorder="0" applyAlignment="0" applyProtection="0"/>
    <xf numFmtId="38" fontId="35" fillId="22" borderId="0" applyNumberFormat="0" applyBorder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22" fillId="7" borderId="1" applyNumberFormat="0" applyAlignment="0" applyProtection="0"/>
    <xf numFmtId="10" fontId="35" fillId="23" borderId="6" applyNumberFormat="0" applyBorder="0" applyAlignment="0" applyProtection="0"/>
    <xf numFmtId="0" fontId="23" fillId="0" borderId="7" applyNumberFormat="0" applyFill="0" applyAlignment="0" applyProtection="0"/>
    <xf numFmtId="183" fontId="4" fillId="0" borderId="0"/>
    <xf numFmtId="176" fontId="4" fillId="0" borderId="0"/>
    <xf numFmtId="0" fontId="24" fillId="24" borderId="0" applyNumberFormat="0" applyBorder="0" applyAlignment="0" applyProtection="0"/>
    <xf numFmtId="182" fontId="4" fillId="0" borderId="0"/>
    <xf numFmtId="0" fontId="4" fillId="0" borderId="0"/>
    <xf numFmtId="0" fontId="25" fillId="0" borderId="0"/>
    <xf numFmtId="0" fontId="4" fillId="25" borderId="8" applyNumberFormat="0" applyFont="0" applyAlignment="0" applyProtection="0"/>
    <xf numFmtId="0" fontId="26" fillId="20" borderId="9" applyNumberFormat="0" applyAlignment="0" applyProtection="0"/>
    <xf numFmtId="9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0" fontId="27" fillId="0" borderId="0" applyNumberFormat="0" applyBorder="0" applyAlignment="0"/>
    <xf numFmtId="0" fontId="42" fillId="0" borderId="0" applyNumberFormat="0" applyBorder="0" applyAlignment="0"/>
    <xf numFmtId="0" fontId="43" fillId="0" borderId="0" applyNumberFormat="0" applyBorder="0" applyAlignment="0"/>
    <xf numFmtId="0" fontId="28" fillId="0" borderId="10">
      <alignment horizontal="center" vertical="center"/>
    </xf>
    <xf numFmtId="0" fontId="29" fillId="0" borderId="0" applyNumberFormat="0" applyFill="0" applyBorder="0" applyAlignment="0" applyProtection="0"/>
    <xf numFmtId="0" fontId="30" fillId="0" borderId="11" applyNumberFormat="0" applyFill="0" applyAlignment="0" applyProtection="0"/>
    <xf numFmtId="0" fontId="31" fillId="0" borderId="0" applyNumberFormat="0" applyFill="0" applyBorder="0" applyAlignment="0" applyProtection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2" fillId="0" borderId="30" applyNumberFormat="0" applyFill="0" applyAlignment="0" applyProtection="0"/>
    <xf numFmtId="0" fontId="51" fillId="0" borderId="29" applyNumberFormat="0" applyFill="0" applyAlignment="0" applyProtection="0"/>
    <xf numFmtId="0" fontId="3" fillId="0" borderId="0"/>
    <xf numFmtId="0" fontId="53" fillId="0" borderId="31" applyNumberFormat="0" applyFill="0" applyAlignment="0" applyProtection="0"/>
    <xf numFmtId="0" fontId="53" fillId="0" borderId="0" applyNumberFormat="0" applyFill="0" applyBorder="0" applyAlignment="0" applyProtection="0"/>
    <xf numFmtId="0" fontId="54" fillId="33" borderId="0" applyNumberFormat="0" applyBorder="0" applyAlignment="0" applyProtection="0"/>
    <xf numFmtId="0" fontId="55" fillId="34" borderId="0" applyNumberFormat="0" applyBorder="0" applyAlignment="0" applyProtection="0"/>
    <xf numFmtId="0" fontId="56" fillId="35" borderId="0" applyNumberFormat="0" applyBorder="0" applyAlignment="0" applyProtection="0"/>
    <xf numFmtId="0" fontId="57" fillId="36" borderId="32" applyNumberFormat="0" applyAlignment="0" applyProtection="0"/>
    <xf numFmtId="0" fontId="58" fillId="37" borderId="33" applyNumberFormat="0" applyAlignment="0" applyProtection="0"/>
    <xf numFmtId="0" fontId="59" fillId="37" borderId="32" applyNumberFormat="0" applyAlignment="0" applyProtection="0"/>
    <xf numFmtId="0" fontId="60" fillId="0" borderId="34" applyNumberFormat="0" applyFill="0" applyAlignment="0" applyProtection="0"/>
    <xf numFmtId="0" fontId="61" fillId="38" borderId="35" applyNumberFormat="0" applyAlignment="0" applyProtection="0"/>
    <xf numFmtId="0" fontId="62" fillId="0" borderId="0" applyNumberFormat="0" applyFill="0" applyBorder="0" applyAlignment="0" applyProtection="0"/>
    <xf numFmtId="0" fontId="3" fillId="39" borderId="36" applyNumberFormat="0" applyFont="0" applyAlignment="0" applyProtection="0"/>
    <xf numFmtId="0" fontId="63" fillId="0" borderId="0" applyNumberFormat="0" applyFill="0" applyBorder="0" applyAlignment="0" applyProtection="0"/>
    <xf numFmtId="0" fontId="64" fillId="0" borderId="37" applyNumberFormat="0" applyFill="0" applyAlignment="0" applyProtection="0"/>
    <xf numFmtId="0" fontId="65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65" fillId="43" borderId="0" applyNumberFormat="0" applyBorder="0" applyAlignment="0" applyProtection="0"/>
    <xf numFmtId="0" fontId="65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65" fillId="47" borderId="0" applyNumberFormat="0" applyBorder="0" applyAlignment="0" applyProtection="0"/>
    <xf numFmtId="0" fontId="65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65" fillId="51" borderId="0" applyNumberFormat="0" applyBorder="0" applyAlignment="0" applyProtection="0"/>
    <xf numFmtId="0" fontId="65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54" borderId="0" applyNumberFormat="0" applyBorder="0" applyAlignment="0" applyProtection="0"/>
    <xf numFmtId="0" fontId="65" fillId="55" borderId="0" applyNumberFormat="0" applyBorder="0" applyAlignment="0" applyProtection="0"/>
    <xf numFmtId="0" fontId="65" fillId="56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65" fillId="59" borderId="0" applyNumberFormat="0" applyBorder="0" applyAlignment="0" applyProtection="0"/>
    <xf numFmtId="0" fontId="65" fillId="60" borderId="0" applyNumberFormat="0" applyBorder="0" applyAlignment="0" applyProtection="0"/>
    <xf numFmtId="0" fontId="3" fillId="61" borderId="0" applyNumberFormat="0" applyBorder="0" applyAlignment="0" applyProtection="0"/>
    <xf numFmtId="0" fontId="3" fillId="62" borderId="0" applyNumberFormat="0" applyBorder="0" applyAlignment="0" applyProtection="0"/>
    <xf numFmtId="0" fontId="65" fillId="63" borderId="0" applyNumberFormat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5" fontId="4" fillId="0" borderId="0"/>
    <xf numFmtId="175" fontId="4" fillId="0" borderId="0"/>
    <xf numFmtId="175" fontId="4" fillId="0" borderId="0"/>
    <xf numFmtId="175" fontId="4" fillId="0" borderId="0"/>
    <xf numFmtId="184" fontId="4" fillId="0" borderId="0"/>
    <xf numFmtId="38" fontId="32" fillId="22" borderId="0" applyNumberFormat="0" applyBorder="0" applyAlignment="0" applyProtection="0"/>
    <xf numFmtId="10" fontId="32" fillId="23" borderId="6" applyNumberFormat="0" applyBorder="0" applyAlignment="0" applyProtection="0"/>
    <xf numFmtId="183" fontId="4" fillId="0" borderId="0"/>
    <xf numFmtId="183" fontId="4" fillId="0" borderId="0"/>
    <xf numFmtId="183" fontId="4" fillId="0" borderId="0"/>
    <xf numFmtId="183" fontId="4" fillId="0" borderId="0"/>
    <xf numFmtId="0" fontId="3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65" borderId="6" applyNumberFormat="0" applyProtection="0">
      <alignment horizontal="left" vertical="center"/>
    </xf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70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8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6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3" fontId="4" fillId="0" borderId="0" xfId="32" applyNumberFormat="1" applyAlignment="1">
      <alignment horizontal="center"/>
    </xf>
    <xf numFmtId="10" fontId="0" fillId="0" borderId="0" xfId="0" applyNumberFormat="1" applyAlignment="1">
      <alignment horizontal="center"/>
    </xf>
    <xf numFmtId="37" fontId="5" fillId="0" borderId="0" xfId="0" applyNumberFormat="1" applyFont="1" applyFill="1" applyAlignment="1">
      <alignment horizontal="center"/>
    </xf>
    <xf numFmtId="0" fontId="0" fillId="26" borderId="0" xfId="0" applyFill="1" applyAlignment="1">
      <alignment horizontal="center"/>
    </xf>
    <xf numFmtId="0" fontId="7" fillId="0" borderId="0" xfId="0" applyFont="1"/>
    <xf numFmtId="0" fontId="7" fillId="0" borderId="0" xfId="0" applyFont="1" applyAlignment="1"/>
    <xf numFmtId="3" fontId="0" fillId="26" borderId="0" xfId="0" applyNumberFormat="1" applyFill="1" applyAlignment="1">
      <alignment horizontal="center"/>
    </xf>
    <xf numFmtId="17" fontId="7" fillId="0" borderId="0" xfId="0" applyNumberFormat="1" applyFont="1"/>
    <xf numFmtId="0" fontId="0" fillId="0" borderId="0" xfId="0" applyFill="1" applyAlignment="1">
      <alignment horizontal="center"/>
    </xf>
    <xf numFmtId="172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17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0" fontId="0" fillId="0" borderId="6" xfId="0" applyBorder="1" applyAlignment="1">
      <alignment horizontal="right"/>
    </xf>
    <xf numFmtId="0" fontId="0" fillId="0" borderId="0" xfId="0" applyFill="1"/>
    <xf numFmtId="4" fontId="5" fillId="0" borderId="0" xfId="0" applyNumberFormat="1" applyFont="1" applyFill="1" applyAlignment="1">
      <alignment horizontal="center"/>
    </xf>
    <xf numFmtId="4" fontId="0" fillId="0" borderId="0" xfId="0" applyNumberFormat="1" applyFill="1" applyAlignment="1">
      <alignment horizontal="center"/>
    </xf>
    <xf numFmtId="0" fontId="0" fillId="0" borderId="0" xfId="0" applyFill="1" applyBorder="1" applyAlignment="1"/>
    <xf numFmtId="0" fontId="0" fillId="0" borderId="12" xfId="0" applyFill="1" applyBorder="1" applyAlignment="1"/>
    <xf numFmtId="0" fontId="9" fillId="0" borderId="13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centerContinuous"/>
    </xf>
    <xf numFmtId="171" fontId="0" fillId="0" borderId="0" xfId="0" applyNumberFormat="1" applyAlignment="1">
      <alignment horizontal="center"/>
    </xf>
    <xf numFmtId="0" fontId="0" fillId="0" borderId="0" xfId="0" applyNumberFormat="1" applyBorder="1"/>
    <xf numFmtId="0" fontId="0" fillId="0" borderId="0" xfId="0" applyAlignment="1">
      <alignment horizontal="left"/>
    </xf>
    <xf numFmtId="3" fontId="7" fillId="0" borderId="0" xfId="0" applyNumberFormat="1" applyFont="1"/>
    <xf numFmtId="0" fontId="8" fillId="0" borderId="0" xfId="0" applyFont="1"/>
    <xf numFmtId="168" fontId="0" fillId="0" borderId="0" xfId="0" applyNumberFormat="1" applyAlignment="1">
      <alignment horizontal="center" wrapText="1"/>
    </xf>
    <xf numFmtId="9" fontId="0" fillId="27" borderId="0" xfId="0" applyNumberFormat="1" applyFill="1" applyAlignment="1">
      <alignment horizontal="center"/>
    </xf>
    <xf numFmtId="3" fontId="0" fillId="28" borderId="0" xfId="0" applyNumberFormat="1" applyFill="1" applyAlignment="1">
      <alignment horizontal="center"/>
    </xf>
    <xf numFmtId="4" fontId="0" fillId="0" borderId="0" xfId="0" applyNumberFormat="1" applyFill="1" applyBorder="1" applyAlignment="1">
      <alignment horizontal="center"/>
    </xf>
    <xf numFmtId="1" fontId="5" fillId="0" borderId="0" xfId="0" applyNumberFormat="1" applyFont="1" applyFill="1" applyAlignment="1">
      <alignment horizontal="center"/>
    </xf>
    <xf numFmtId="3" fontId="0" fillId="0" borderId="0" xfId="0" applyNumberFormat="1"/>
    <xf numFmtId="0" fontId="0" fillId="28" borderId="0" xfId="0" applyFill="1"/>
    <xf numFmtId="3" fontId="0" fillId="0" borderId="0" xfId="0" applyNumberFormat="1" applyAlignment="1">
      <alignment horizontal="left"/>
    </xf>
    <xf numFmtId="0" fontId="8" fillId="0" borderId="0" xfId="0" applyFont="1" applyBorder="1"/>
    <xf numFmtId="9" fontId="0" fillId="0" borderId="0" xfId="56" applyFont="1" applyAlignment="1">
      <alignment horizontal="center"/>
    </xf>
    <xf numFmtId="9" fontId="0" fillId="0" borderId="0" xfId="56" applyFont="1" applyFill="1" applyAlignment="1">
      <alignment horizontal="center"/>
    </xf>
    <xf numFmtId="0" fontId="0" fillId="0" borderId="6" xfId="0" applyFill="1" applyBorder="1" applyAlignment="1">
      <alignment horizontal="right"/>
    </xf>
    <xf numFmtId="0" fontId="0" fillId="0" borderId="0" xfId="0" applyFill="1" applyAlignment="1">
      <alignment horizontal="right"/>
    </xf>
    <xf numFmtId="167" fontId="0" fillId="0" borderId="0" xfId="32" applyFont="1" applyAlignment="1">
      <alignment horizontal="center"/>
    </xf>
    <xf numFmtId="176" fontId="0" fillId="0" borderId="0" xfId="32" applyNumberFormat="1" applyFont="1" applyAlignment="1">
      <alignment horizontal="center"/>
    </xf>
    <xf numFmtId="0" fontId="0" fillId="0" borderId="0" xfId="0" applyNumberFormat="1" applyFill="1" applyBorder="1"/>
    <xf numFmtId="173" fontId="0" fillId="0" borderId="0" xfId="0" applyNumberFormat="1" applyFill="1" applyAlignment="1">
      <alignment horizontal="center"/>
    </xf>
    <xf numFmtId="167" fontId="0" fillId="0" borderId="0" xfId="32" applyFont="1"/>
    <xf numFmtId="3" fontId="0" fillId="29" borderId="0" xfId="0" applyNumberFormat="1" applyFill="1" applyAlignment="1">
      <alignment horizontal="center"/>
    </xf>
    <xf numFmtId="4" fontId="0" fillId="0" borderId="0" xfId="0" applyNumberFormat="1"/>
    <xf numFmtId="3" fontId="0" fillId="0" borderId="0" xfId="0" quotePrefix="1" applyNumberFormat="1"/>
    <xf numFmtId="4" fontId="11" fillId="0" borderId="0" xfId="0" applyNumberFormat="1" applyFont="1"/>
    <xf numFmtId="37" fontId="32" fillId="0" borderId="0" xfId="33" applyNumberFormat="1" applyFont="1" applyFill="1" applyBorder="1" applyAlignment="1">
      <alignment horizontal="center" vertical="center"/>
    </xf>
    <xf numFmtId="0" fontId="32" fillId="0" borderId="0" xfId="0" applyFont="1" applyFill="1" applyAlignment="1">
      <alignment vertical="center"/>
    </xf>
    <xf numFmtId="0" fontId="33" fillId="0" borderId="0" xfId="0" applyFont="1" applyFill="1" applyAlignment="1">
      <alignment horizontal="left" vertical="center"/>
    </xf>
    <xf numFmtId="0" fontId="32" fillId="0" borderId="0" xfId="0" applyFont="1" applyFill="1" applyAlignment="1">
      <alignment horizontal="left" vertical="center"/>
    </xf>
    <xf numFmtId="0" fontId="32" fillId="0" borderId="6" xfId="0" applyFont="1" applyFill="1" applyBorder="1" applyAlignment="1">
      <alignment vertical="center"/>
    </xf>
    <xf numFmtId="3" fontId="32" fillId="0" borderId="6" xfId="0" applyNumberFormat="1" applyFont="1" applyFill="1" applyBorder="1" applyAlignment="1">
      <alignment horizontal="center" vertical="center"/>
    </xf>
    <xf numFmtId="3" fontId="32" fillId="0" borderId="0" xfId="0" applyNumberFormat="1" applyFont="1" applyFill="1" applyAlignment="1">
      <alignment vertical="center"/>
    </xf>
    <xf numFmtId="0" fontId="32" fillId="0" borderId="0" xfId="0" applyFont="1" applyFill="1" applyBorder="1" applyAlignment="1">
      <alignment vertical="center"/>
    </xf>
    <xf numFmtId="169" fontId="32" fillId="0" borderId="0" xfId="0" applyNumberFormat="1" applyFont="1" applyFill="1" applyAlignment="1">
      <alignment vertical="center"/>
    </xf>
    <xf numFmtId="3" fontId="32" fillId="0" borderId="0" xfId="0" applyNumberFormat="1" applyFont="1" applyFill="1" applyBorder="1" applyAlignment="1">
      <alignment horizontal="center" vertical="center" wrapText="1"/>
    </xf>
    <xf numFmtId="177" fontId="32" fillId="0" borderId="0" xfId="0" applyNumberFormat="1" applyFont="1" applyFill="1" applyBorder="1" applyAlignment="1">
      <alignment horizontal="center" vertical="center" wrapText="1"/>
    </xf>
    <xf numFmtId="9" fontId="32" fillId="0" borderId="0" xfId="0" applyNumberFormat="1" applyFont="1" applyFill="1" applyBorder="1" applyAlignment="1">
      <alignment horizontal="center" vertical="center" wrapText="1"/>
    </xf>
    <xf numFmtId="179" fontId="32" fillId="0" borderId="0" xfId="0" applyNumberFormat="1" applyFont="1" applyFill="1" applyBorder="1" applyAlignment="1">
      <alignment horizontal="center" vertical="center" wrapText="1"/>
    </xf>
    <xf numFmtId="180" fontId="32" fillId="0" borderId="0" xfId="0" applyNumberFormat="1" applyFont="1" applyFill="1" applyBorder="1" applyAlignment="1">
      <alignment horizontal="center" vertical="center" wrapText="1"/>
    </xf>
    <xf numFmtId="0" fontId="33" fillId="0" borderId="0" xfId="0" applyFont="1" applyFill="1" applyAlignment="1">
      <alignment horizontal="center" vertical="center"/>
    </xf>
    <xf numFmtId="0" fontId="34" fillId="0" borderId="0" xfId="0" applyFont="1" applyFill="1"/>
    <xf numFmtId="168" fontId="32" fillId="0" borderId="6" xfId="52" applyNumberFormat="1" applyFont="1" applyFill="1" applyBorder="1" applyAlignment="1">
      <alignment horizontal="center" vertical="center"/>
    </xf>
    <xf numFmtId="0" fontId="33" fillId="0" borderId="14" xfId="0" applyFont="1" applyFill="1" applyBorder="1" applyAlignment="1">
      <alignment horizontal="left" vertical="center"/>
    </xf>
    <xf numFmtId="0" fontId="33" fillId="0" borderId="15" xfId="0" applyFont="1" applyFill="1" applyBorder="1" applyAlignment="1">
      <alignment horizontal="left" vertical="center"/>
    </xf>
    <xf numFmtId="0" fontId="33" fillId="0" borderId="16" xfId="0" applyFont="1" applyFill="1" applyBorder="1" applyAlignment="1">
      <alignment horizontal="left" vertical="center"/>
    </xf>
    <xf numFmtId="169" fontId="32" fillId="0" borderId="6" xfId="52" applyNumberFormat="1" applyFont="1" applyFill="1" applyBorder="1" applyAlignment="1">
      <alignment horizontal="center" vertical="center"/>
    </xf>
    <xf numFmtId="3" fontId="32" fillId="0" borderId="6" xfId="0" applyNumberFormat="1" applyFont="1" applyFill="1" applyBorder="1" applyAlignment="1">
      <alignment horizontal="center" vertical="center" wrapText="1"/>
    </xf>
    <xf numFmtId="165" fontId="32" fillId="0" borderId="6" xfId="52" applyNumberFormat="1" applyFont="1" applyFill="1" applyBorder="1" applyAlignment="1">
      <alignment vertical="center"/>
    </xf>
    <xf numFmtId="3" fontId="32" fillId="0" borderId="16" xfId="52" applyNumberFormat="1" applyFont="1" applyFill="1" applyBorder="1" applyAlignment="1">
      <alignment horizontal="center" vertical="center"/>
    </xf>
    <xf numFmtId="177" fontId="32" fillId="0" borderId="6" xfId="52" applyNumberFormat="1" applyFont="1" applyFill="1" applyBorder="1" applyAlignment="1">
      <alignment horizontal="center" vertical="center"/>
    </xf>
    <xf numFmtId="179" fontId="32" fillId="0" borderId="6" xfId="0" applyNumberFormat="1" applyFont="1" applyFill="1" applyBorder="1" applyAlignment="1">
      <alignment horizontal="center" vertical="center"/>
    </xf>
    <xf numFmtId="170" fontId="32" fillId="0" borderId="6" xfId="0" applyNumberFormat="1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left" vertical="center"/>
    </xf>
    <xf numFmtId="165" fontId="32" fillId="0" borderId="0" xfId="52" applyNumberFormat="1" applyFont="1" applyFill="1" applyBorder="1" applyAlignment="1">
      <alignment vertical="center"/>
    </xf>
    <xf numFmtId="169" fontId="32" fillId="0" borderId="16" xfId="52" applyNumberFormat="1" applyFont="1" applyFill="1" applyBorder="1" applyAlignment="1">
      <alignment horizontal="center" vertical="center"/>
    </xf>
    <xf numFmtId="177" fontId="32" fillId="0" borderId="16" xfId="52" applyNumberFormat="1" applyFont="1" applyFill="1" applyBorder="1" applyAlignment="1">
      <alignment horizontal="center" vertical="center"/>
    </xf>
    <xf numFmtId="3" fontId="32" fillId="0" borderId="6" xfId="52" applyNumberFormat="1" applyFont="1" applyFill="1" applyBorder="1" applyAlignment="1">
      <alignment horizontal="center" vertical="center"/>
    </xf>
    <xf numFmtId="168" fontId="32" fillId="0" borderId="6" xfId="0" applyNumberFormat="1" applyFont="1" applyFill="1" applyBorder="1" applyAlignment="1">
      <alignment horizontal="center" vertical="center"/>
    </xf>
    <xf numFmtId="1" fontId="32" fillId="0" borderId="14" xfId="0" applyNumberFormat="1" applyFont="1" applyFill="1" applyBorder="1" applyAlignment="1">
      <alignment horizontal="left" vertical="center" indent="1"/>
    </xf>
    <xf numFmtId="181" fontId="32" fillId="0" borderId="6" xfId="52" applyNumberFormat="1" applyFont="1" applyFill="1" applyBorder="1" applyAlignment="1">
      <alignment horizontal="center" vertical="center"/>
    </xf>
    <xf numFmtId="170" fontId="32" fillId="0" borderId="16" xfId="52" applyNumberFormat="1" applyFont="1" applyFill="1" applyBorder="1" applyAlignment="1">
      <alignment horizontal="center" vertical="center"/>
    </xf>
    <xf numFmtId="170" fontId="33" fillId="0" borderId="16" xfId="52" applyNumberFormat="1" applyFont="1" applyFill="1" applyBorder="1" applyAlignment="1">
      <alignment horizontal="center" vertical="center"/>
    </xf>
    <xf numFmtId="170" fontId="32" fillId="0" borderId="6" xfId="0" applyNumberFormat="1" applyFont="1" applyFill="1" applyBorder="1" applyAlignment="1">
      <alignment horizontal="center" vertical="center" wrapText="1"/>
    </xf>
    <xf numFmtId="181" fontId="32" fillId="0" borderId="6" xfId="0" applyNumberFormat="1" applyFont="1" applyFill="1" applyBorder="1" applyAlignment="1">
      <alignment horizontal="center" vertical="center"/>
    </xf>
    <xf numFmtId="177" fontId="32" fillId="0" borderId="0" xfId="0" applyNumberFormat="1" applyFont="1" applyFill="1" applyAlignment="1">
      <alignment vertical="center"/>
    </xf>
    <xf numFmtId="0" fontId="33" fillId="0" borderId="14" xfId="0" applyFont="1" applyFill="1" applyBorder="1" applyAlignment="1">
      <alignment vertical="center"/>
    </xf>
    <xf numFmtId="0" fontId="33" fillId="0" borderId="15" xfId="0" applyFont="1" applyFill="1" applyBorder="1" applyAlignment="1">
      <alignment vertical="center"/>
    </xf>
    <xf numFmtId="0" fontId="33" fillId="0" borderId="16" xfId="0" applyFont="1" applyFill="1" applyBorder="1" applyAlignment="1">
      <alignment vertical="center"/>
    </xf>
    <xf numFmtId="0" fontId="34" fillId="0" borderId="6" xfId="0" applyFont="1" applyFill="1" applyBorder="1"/>
    <xf numFmtId="0" fontId="34" fillId="0" borderId="15" xfId="0" applyFont="1" applyFill="1" applyBorder="1"/>
    <xf numFmtId="0" fontId="32" fillId="0" borderId="16" xfId="0" applyFont="1" applyFill="1" applyBorder="1" applyAlignment="1">
      <alignment vertical="center"/>
    </xf>
    <xf numFmtId="168" fontId="32" fillId="0" borderId="0" xfId="0" applyNumberFormat="1" applyFont="1" applyFill="1" applyAlignment="1">
      <alignment vertical="center"/>
    </xf>
    <xf numFmtId="0" fontId="32" fillId="0" borderId="21" xfId="0" applyFont="1" applyFill="1" applyBorder="1" applyAlignment="1">
      <alignment horizontal="left" vertical="center"/>
    </xf>
    <xf numFmtId="0" fontId="32" fillId="0" borderId="22" xfId="0" applyFont="1" applyFill="1" applyBorder="1" applyAlignment="1">
      <alignment horizontal="left" vertical="center"/>
    </xf>
    <xf numFmtId="3" fontId="32" fillId="0" borderId="17" xfId="0" applyNumberFormat="1" applyFont="1" applyFill="1" applyBorder="1" applyAlignment="1">
      <alignment horizontal="center" vertical="center" wrapText="1"/>
    </xf>
    <xf numFmtId="0" fontId="32" fillId="0" borderId="23" xfId="0" applyFont="1" applyFill="1" applyBorder="1" applyAlignment="1">
      <alignment vertical="center"/>
    </xf>
    <xf numFmtId="0" fontId="32" fillId="0" borderId="15" xfId="0" applyFont="1" applyFill="1" applyBorder="1" applyAlignment="1">
      <alignment vertical="center"/>
    </xf>
    <xf numFmtId="9" fontId="32" fillId="0" borderId="17" xfId="0" applyNumberFormat="1" applyFont="1" applyFill="1" applyBorder="1" applyAlignment="1">
      <alignment horizontal="center" vertical="center" wrapText="1"/>
    </xf>
    <xf numFmtId="0" fontId="32" fillId="0" borderId="19" xfId="0" applyFont="1" applyFill="1" applyBorder="1" applyAlignment="1">
      <alignment horizontal="left" vertical="center"/>
    </xf>
    <xf numFmtId="180" fontId="32" fillId="0" borderId="17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Fill="1" applyAlignment="1">
      <alignment horizontal="center"/>
    </xf>
    <xf numFmtId="3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 wrapText="1"/>
    </xf>
    <xf numFmtId="4" fontId="6" fillId="0" borderId="0" xfId="0" applyNumberFormat="1" applyFont="1" applyFill="1" applyAlignment="1">
      <alignment horizontal="center" wrapText="1"/>
    </xf>
    <xf numFmtId="3" fontId="6" fillId="0" borderId="0" xfId="0" applyNumberFormat="1" applyFont="1" applyFill="1" applyAlignment="1">
      <alignment horizontal="center" wrapText="1"/>
    </xf>
    <xf numFmtId="176" fontId="0" fillId="0" borderId="0" xfId="32" applyNumberFormat="1" applyFont="1" applyFill="1"/>
    <xf numFmtId="3" fontId="5" fillId="0" borderId="0" xfId="0" applyNumberFormat="1" applyFont="1" applyFill="1" applyAlignment="1">
      <alignment horizontal="center"/>
    </xf>
    <xf numFmtId="0" fontId="0" fillId="0" borderId="0" xfId="0" applyFill="1" applyBorder="1"/>
    <xf numFmtId="3" fontId="0" fillId="0" borderId="0" xfId="0" applyNumberForma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center"/>
    </xf>
    <xf numFmtId="37" fontId="0" fillId="0" borderId="0" xfId="0" applyNumberFormat="1" applyFill="1" applyAlignment="1">
      <alignment horizontal="center"/>
    </xf>
    <xf numFmtId="10" fontId="0" fillId="0" borderId="0" xfId="56" applyNumberFormat="1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171" fontId="0" fillId="0" borderId="0" xfId="0" applyNumberFormat="1" applyFill="1" applyAlignment="1">
      <alignment horizontal="center"/>
    </xf>
    <xf numFmtId="168" fontId="0" fillId="0" borderId="0" xfId="0" applyNumberForma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171" fontId="4" fillId="0" borderId="0" xfId="0" applyNumberFormat="1" applyFont="1" applyFill="1" applyAlignment="1">
      <alignment horizontal="center"/>
    </xf>
    <xf numFmtId="168" fontId="4" fillId="0" borderId="0" xfId="0" applyNumberFormat="1" applyFont="1" applyFill="1" applyAlignment="1">
      <alignment horizontal="center"/>
    </xf>
    <xf numFmtId="0" fontId="4" fillId="0" borderId="0" xfId="0" quotePrefix="1" applyFont="1" applyFill="1" applyAlignment="1">
      <alignment horizontal="center"/>
    </xf>
    <xf numFmtId="0" fontId="36" fillId="0" borderId="0" xfId="0" applyFont="1" applyFill="1" applyAlignment="1">
      <alignment horizontal="center" wrapText="1"/>
    </xf>
    <xf numFmtId="0" fontId="37" fillId="0" borderId="0" xfId="0" applyFont="1" applyFill="1" applyAlignment="1">
      <alignment horizontal="center"/>
    </xf>
    <xf numFmtId="1" fontId="37" fillId="0" borderId="0" xfId="0" applyNumberFormat="1" applyFont="1" applyFill="1" applyAlignment="1">
      <alignment horizontal="center"/>
    </xf>
    <xf numFmtId="0" fontId="38" fillId="0" borderId="0" xfId="0" applyFont="1"/>
    <xf numFmtId="17" fontId="10" fillId="0" borderId="0" xfId="0" applyNumberFormat="1" applyFont="1" applyFill="1" applyBorder="1"/>
    <xf numFmtId="3" fontId="7" fillId="27" borderId="24" xfId="0" applyNumberFormat="1" applyFont="1" applyFill="1" applyBorder="1" applyAlignment="1">
      <alignment horizontal="center"/>
    </xf>
    <xf numFmtId="37" fontId="7" fillId="27" borderId="24" xfId="0" applyNumberFormat="1" applyFont="1" applyFill="1" applyBorder="1" applyAlignment="1">
      <alignment horizontal="center"/>
    </xf>
    <xf numFmtId="17" fontId="40" fillId="0" borderId="0" xfId="0" applyNumberFormat="1" applyFont="1" applyFill="1" applyBorder="1"/>
    <xf numFmtId="174" fontId="0" fillId="0" borderId="0" xfId="56" applyNumberFormat="1" applyFont="1" applyAlignment="1">
      <alignment horizontal="center"/>
    </xf>
    <xf numFmtId="0" fontId="40" fillId="0" borderId="0" xfId="0" applyFont="1"/>
    <xf numFmtId="0" fontId="7" fillId="0" borderId="0" xfId="0" applyFont="1" applyFill="1" applyAlignment="1">
      <alignment horizontal="center" wrapText="1"/>
    </xf>
    <xf numFmtId="4" fontId="0" fillId="0" borderId="0" xfId="0" applyNumberFormat="1" applyFill="1"/>
    <xf numFmtId="3" fontId="0" fillId="0" borderId="24" xfId="0" applyNumberFormat="1" applyFill="1" applyBorder="1" applyAlignment="1">
      <alignment horizontal="center"/>
    </xf>
    <xf numFmtId="172" fontId="0" fillId="0" borderId="0" xfId="0" applyNumberFormat="1" applyFill="1" applyAlignment="1">
      <alignment horizontal="center"/>
    </xf>
    <xf numFmtId="3" fontId="5" fillId="26" borderId="0" xfId="0" applyNumberFormat="1" applyFont="1" applyFill="1" applyAlignment="1">
      <alignment horizontal="center"/>
    </xf>
    <xf numFmtId="0" fontId="5" fillId="0" borderId="0" xfId="0" applyFont="1"/>
    <xf numFmtId="3" fontId="0" fillId="0" borderId="0" xfId="0" applyNumberFormat="1" applyFill="1" applyAlignment="1">
      <alignment horizontal="center" wrapText="1"/>
    </xf>
    <xf numFmtId="168" fontId="0" fillId="0" borderId="0" xfId="0" applyNumberFormat="1" applyFill="1" applyAlignment="1">
      <alignment horizontal="center" wrapText="1"/>
    </xf>
    <xf numFmtId="4" fontId="32" fillId="0" borderId="0" xfId="0" applyNumberFormat="1" applyFont="1" applyFill="1" applyAlignment="1">
      <alignment horizontal="center"/>
    </xf>
    <xf numFmtId="4" fontId="5" fillId="0" borderId="0" xfId="0" applyNumberFormat="1" applyFont="1"/>
    <xf numFmtId="0" fontId="9" fillId="0" borderId="0" xfId="0" applyFont="1" applyAlignment="1"/>
    <xf numFmtId="3" fontId="7" fillId="0" borderId="0" xfId="0" applyNumberFormat="1" applyFont="1" applyFill="1"/>
    <xf numFmtId="3" fontId="0" fillId="0" borderId="0" xfId="0" applyNumberFormat="1" applyFill="1"/>
    <xf numFmtId="178" fontId="0" fillId="0" borderId="0" xfId="32" applyNumberFormat="1" applyFont="1"/>
    <xf numFmtId="178" fontId="0" fillId="0" borderId="0" xfId="0" applyNumberFormat="1"/>
    <xf numFmtId="10" fontId="0" fillId="0" borderId="0" xfId="56" applyNumberFormat="1" applyFont="1" applyFill="1"/>
    <xf numFmtId="10" fontId="0" fillId="0" borderId="0" xfId="56" applyNumberFormat="1" applyFont="1" applyAlignment="1">
      <alignment horizontal="center"/>
    </xf>
    <xf numFmtId="176" fontId="0" fillId="0" borderId="0" xfId="32" applyNumberFormat="1" applyFont="1" applyBorder="1" applyAlignment="1">
      <alignment horizontal="center"/>
    </xf>
    <xf numFmtId="0" fontId="0" fillId="30" borderId="0" xfId="0" applyFill="1"/>
    <xf numFmtId="0" fontId="7" fillId="30" borderId="0" xfId="0" applyFont="1" applyFill="1" applyAlignment="1">
      <alignment horizontal="center" wrapText="1"/>
    </xf>
    <xf numFmtId="4" fontId="0" fillId="30" borderId="0" xfId="0" applyNumberFormat="1" applyFill="1" applyAlignment="1">
      <alignment horizontal="center" wrapText="1"/>
    </xf>
    <xf numFmtId="3" fontId="0" fillId="30" borderId="0" xfId="0" applyNumberFormat="1" applyFill="1" applyAlignment="1">
      <alignment horizontal="center"/>
    </xf>
    <xf numFmtId="3" fontId="0" fillId="30" borderId="0" xfId="0" applyNumberFormat="1" applyFill="1" applyAlignment="1">
      <alignment horizontal="center" wrapText="1"/>
    </xf>
    <xf numFmtId="3" fontId="5" fillId="30" borderId="0" xfId="0" applyNumberFormat="1" applyFont="1" applyFill="1" applyAlignment="1">
      <alignment horizontal="center"/>
    </xf>
    <xf numFmtId="10" fontId="44" fillId="30" borderId="0" xfId="56" applyNumberFormat="1" applyFont="1" applyFill="1"/>
    <xf numFmtId="4" fontId="0" fillId="30" borderId="0" xfId="0" applyNumberFormat="1" applyFill="1"/>
    <xf numFmtId="4" fontId="32" fillId="30" borderId="0" xfId="0" applyNumberFormat="1" applyFont="1" applyFill="1" applyAlignment="1">
      <alignment horizontal="center"/>
    </xf>
    <xf numFmtId="3" fontId="0" fillId="30" borderId="24" xfId="0" applyNumberFormat="1" applyFill="1" applyBorder="1" applyAlignment="1">
      <alignment horizontal="center"/>
    </xf>
    <xf numFmtId="0" fontId="0" fillId="30" borderId="0" xfId="0" applyFill="1" applyAlignment="1">
      <alignment horizontal="center"/>
    </xf>
    <xf numFmtId="4" fontId="5" fillId="30" borderId="0" xfId="0" applyNumberFormat="1" applyFont="1" applyFill="1" applyAlignment="1">
      <alignment horizontal="center"/>
    </xf>
    <xf numFmtId="0" fontId="7" fillId="30" borderId="0" xfId="0" applyFont="1" applyFill="1"/>
    <xf numFmtId="176" fontId="0" fillId="0" borderId="0" xfId="32" applyNumberFormat="1" applyFont="1"/>
    <xf numFmtId="173" fontId="38" fillId="0" borderId="0" xfId="0" applyNumberFormat="1" applyFont="1" applyFill="1" applyAlignment="1">
      <alignment horizontal="center"/>
    </xf>
    <xf numFmtId="3" fontId="0" fillId="0" borderId="6" xfId="0" applyNumberFormat="1" applyFill="1" applyBorder="1" applyAlignment="1">
      <alignment horizontal="center"/>
    </xf>
    <xf numFmtId="3" fontId="5" fillId="0" borderId="6" xfId="0" applyNumberFormat="1" applyFont="1" applyFill="1" applyBorder="1" applyAlignment="1">
      <alignment horizontal="center"/>
    </xf>
    <xf numFmtId="3" fontId="4" fillId="0" borderId="6" xfId="0" applyNumberFormat="1" applyFont="1" applyFill="1" applyBorder="1" applyAlignment="1">
      <alignment horizontal="center"/>
    </xf>
    <xf numFmtId="174" fontId="0" fillId="0" borderId="0" xfId="0" applyNumberFormat="1" applyFill="1" applyAlignment="1">
      <alignment horizontal="center"/>
    </xf>
    <xf numFmtId="0" fontId="0" fillId="31" borderId="0" xfId="0" applyFill="1"/>
    <xf numFmtId="3" fontId="0" fillId="31" borderId="0" xfId="0" applyNumberFormat="1" applyFill="1" applyAlignment="1">
      <alignment horizontal="center"/>
    </xf>
    <xf numFmtId="3" fontId="5" fillId="0" borderId="0" xfId="0" applyNumberFormat="1" applyFont="1" applyFill="1" applyAlignment="1">
      <alignment horizontal="left"/>
    </xf>
    <xf numFmtId="0" fontId="0" fillId="0" borderId="0" xfId="0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3" fontId="0" fillId="32" borderId="25" xfId="0" applyNumberFormat="1" applyFill="1" applyBorder="1" applyAlignment="1">
      <alignment horizontal="center"/>
    </xf>
    <xf numFmtId="3" fontId="0" fillId="32" borderId="26" xfId="0" applyNumberFormat="1" applyFill="1" applyBorder="1" applyAlignment="1">
      <alignment horizontal="center"/>
    </xf>
    <xf numFmtId="3" fontId="7" fillId="32" borderId="27" xfId="0" applyNumberFormat="1" applyFont="1" applyFill="1" applyBorder="1" applyAlignment="1">
      <alignment horizontal="center"/>
    </xf>
    <xf numFmtId="0" fontId="7" fillId="32" borderId="0" xfId="0" applyFont="1" applyFill="1"/>
    <xf numFmtId="3" fontId="5" fillId="0" borderId="20" xfId="0" applyNumberFormat="1" applyFont="1" applyFill="1" applyBorder="1" applyAlignment="1">
      <alignment horizontal="center"/>
    </xf>
    <xf numFmtId="3" fontId="0" fillId="26" borderId="6" xfId="0" applyNumberFormat="1" applyFill="1" applyBorder="1" applyAlignment="1">
      <alignment horizontal="center"/>
    </xf>
    <xf numFmtId="174" fontId="0" fillId="26" borderId="0" xfId="56" applyNumberFormat="1" applyFont="1" applyFill="1" applyAlignment="1">
      <alignment horizontal="center"/>
    </xf>
    <xf numFmtId="10" fontId="44" fillId="0" borderId="0" xfId="56" applyNumberFormat="1" applyFont="1" applyFill="1"/>
    <xf numFmtId="3" fontId="7" fillId="0" borderId="0" xfId="0" applyNumberFormat="1" applyFont="1" applyAlignment="1">
      <alignment horizontal="center" wrapText="1"/>
    </xf>
    <xf numFmtId="3" fontId="7" fillId="0" borderId="0" xfId="0" applyNumberFormat="1" applyFont="1" applyAlignment="1">
      <alignment horizontal="center"/>
    </xf>
    <xf numFmtId="3" fontId="40" fillId="0" borderId="0" xfId="0" applyNumberFormat="1" applyFont="1" applyFill="1" applyAlignment="1">
      <alignment horizontal="center" wrapText="1"/>
    </xf>
    <xf numFmtId="3" fontId="7" fillId="0" borderId="0" xfId="0" applyNumberFormat="1" applyFont="1" applyFill="1" applyBorder="1" applyAlignment="1">
      <alignment horizontal="center"/>
    </xf>
    <xf numFmtId="176" fontId="0" fillId="0" borderId="19" xfId="32" applyNumberFormat="1" applyFont="1" applyBorder="1"/>
    <xf numFmtId="168" fontId="5" fillId="0" borderId="0" xfId="0" applyNumberFormat="1" applyFont="1" applyFill="1" applyAlignment="1">
      <alignment horizontal="left"/>
    </xf>
    <xf numFmtId="167" fontId="0" fillId="0" borderId="19" xfId="32" applyFont="1" applyBorder="1"/>
    <xf numFmtId="0" fontId="49" fillId="0" borderId="0" xfId="0" applyFont="1" applyAlignment="1">
      <alignment horizontal="left"/>
    </xf>
    <xf numFmtId="168" fontId="0" fillId="0" borderId="0" xfId="56" applyNumberFormat="1" applyFont="1" applyAlignment="1">
      <alignment horizontal="center"/>
    </xf>
    <xf numFmtId="3" fontId="47" fillId="0" borderId="0" xfId="29" applyNumberFormat="1" applyFont="1" applyFill="1" applyAlignment="1">
      <alignment horizontal="center"/>
    </xf>
    <xf numFmtId="3" fontId="47" fillId="0" borderId="0" xfId="29" applyNumberFormat="1" applyFont="1" applyFill="1" applyBorder="1" applyAlignment="1">
      <alignment horizontal="center"/>
    </xf>
    <xf numFmtId="3" fontId="0" fillId="0" borderId="0" xfId="0" applyNumberFormat="1" applyFill="1" applyBorder="1" applyAlignment="1"/>
    <xf numFmtId="0" fontId="5" fillId="0" borderId="0" xfId="0" applyFont="1" applyAlignment="1">
      <alignment horizontal="center"/>
    </xf>
    <xf numFmtId="0" fontId="7" fillId="0" borderId="0" xfId="0" applyFont="1" applyFill="1"/>
    <xf numFmtId="0" fontId="4" fillId="0" borderId="0" xfId="0" applyFont="1"/>
    <xf numFmtId="0" fontId="4" fillId="0" borderId="0" xfId="0" applyFont="1" applyAlignment="1">
      <alignment horizontal="right"/>
    </xf>
    <xf numFmtId="3" fontId="4" fillId="0" borderId="0" xfId="0" applyNumberFormat="1" applyFont="1" applyFill="1" applyAlignment="1">
      <alignment horizontal="center" wrapText="1"/>
    </xf>
    <xf numFmtId="172" fontId="32" fillId="0" borderId="0" xfId="0" applyNumberFormat="1" applyFont="1" applyFill="1" applyAlignment="1">
      <alignment vertical="center"/>
    </xf>
    <xf numFmtId="187" fontId="32" fillId="0" borderId="6" xfId="0" applyNumberFormat="1" applyFont="1" applyFill="1" applyBorder="1" applyAlignment="1">
      <alignment horizontal="center" vertical="center" wrapText="1"/>
    </xf>
    <xf numFmtId="168" fontId="4" fillId="0" borderId="0" xfId="56" applyNumberFormat="1" applyFont="1" applyFill="1" applyAlignment="1">
      <alignment horizontal="center"/>
    </xf>
    <xf numFmtId="177" fontId="32" fillId="0" borderId="17" xfId="0" applyNumberFormat="1" applyFont="1" applyFill="1" applyBorder="1" applyAlignment="1">
      <alignment horizontal="center" vertical="center" wrapText="1"/>
    </xf>
    <xf numFmtId="0" fontId="32" fillId="0" borderId="14" xfId="0" applyFont="1" applyFill="1" applyBorder="1" applyAlignment="1">
      <alignment vertical="center"/>
    </xf>
    <xf numFmtId="181" fontId="32" fillId="0" borderId="17" xfId="0" applyNumberFormat="1" applyFont="1" applyFill="1" applyBorder="1" applyAlignment="1">
      <alignment horizontal="center" vertical="center" wrapText="1"/>
    </xf>
    <xf numFmtId="179" fontId="32" fillId="0" borderId="17" xfId="0" applyNumberFormat="1" applyFont="1" applyFill="1" applyBorder="1" applyAlignment="1">
      <alignment horizontal="center" vertical="center" wrapText="1"/>
    </xf>
    <xf numFmtId="180" fontId="32" fillId="0" borderId="6" xfId="0" applyNumberFormat="1" applyFont="1" applyFill="1" applyBorder="1" applyAlignment="1">
      <alignment horizontal="center" vertical="center" wrapText="1"/>
    </xf>
    <xf numFmtId="172" fontId="32" fillId="0" borderId="6" xfId="0" applyNumberFormat="1" applyFont="1" applyFill="1" applyBorder="1" applyAlignment="1">
      <alignment horizontal="center" vertical="center"/>
    </xf>
    <xf numFmtId="187" fontId="32" fillId="0" borderId="6" xfId="56" applyNumberFormat="1" applyFont="1" applyFill="1" applyBorder="1" applyAlignment="1">
      <alignment horizontal="center"/>
    </xf>
    <xf numFmtId="0" fontId="32" fillId="0" borderId="6" xfId="0" applyFont="1" applyBorder="1" applyAlignment="1">
      <alignment horizontal="center" wrapText="1"/>
    </xf>
    <xf numFmtId="3" fontId="32" fillId="0" borderId="6" xfId="0" applyNumberFormat="1" applyFont="1" applyBorder="1" applyAlignment="1">
      <alignment horizontal="center" wrapText="1"/>
    </xf>
    <xf numFmtId="3" fontId="32" fillId="0" borderId="6" xfId="0" applyNumberFormat="1" applyFont="1" applyBorder="1" applyAlignment="1">
      <alignment horizontal="center"/>
    </xf>
    <xf numFmtId="188" fontId="32" fillId="0" borderId="6" xfId="0" applyNumberFormat="1" applyFont="1" applyBorder="1" applyAlignment="1">
      <alignment horizontal="center"/>
    </xf>
    <xf numFmtId="3" fontId="32" fillId="0" borderId="6" xfId="56" applyNumberFormat="1" applyFont="1" applyBorder="1" applyAlignment="1">
      <alignment horizontal="center"/>
    </xf>
    <xf numFmtId="3" fontId="32" fillId="0" borderId="6" xfId="0" applyNumberFormat="1" applyFont="1" applyBorder="1"/>
    <xf numFmtId="171" fontId="32" fillId="0" borderId="6" xfId="32" applyNumberFormat="1" applyFont="1" applyBorder="1" applyAlignment="1">
      <alignment horizontal="center"/>
    </xf>
    <xf numFmtId="3" fontId="32" fillId="0" borderId="14" xfId="0" applyNumberFormat="1" applyFont="1" applyBorder="1" applyAlignment="1">
      <alignment horizontal="left"/>
    </xf>
    <xf numFmtId="3" fontId="32" fillId="0" borderId="15" xfId="0" applyNumberFormat="1" applyFont="1" applyBorder="1" applyAlignment="1">
      <alignment horizontal="left"/>
    </xf>
    <xf numFmtId="3" fontId="32" fillId="0" borderId="16" xfId="0" applyNumberFormat="1" applyFont="1" applyBorder="1" applyAlignment="1">
      <alignment horizontal="left"/>
    </xf>
    <xf numFmtId="3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17" fontId="0" fillId="0" borderId="0" xfId="0" applyNumberFormat="1" applyFill="1" applyBorder="1"/>
    <xf numFmtId="37" fontId="5" fillId="0" borderId="0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37" fontId="0" fillId="0" borderId="0" xfId="0" applyNumberFormat="1" applyFill="1" applyBorder="1" applyAlignment="1">
      <alignment horizontal="center"/>
    </xf>
    <xf numFmtId="1" fontId="0" fillId="0" borderId="0" xfId="0" applyNumberFormat="1" applyFill="1" applyBorder="1"/>
    <xf numFmtId="0" fontId="4" fillId="0" borderId="0" xfId="0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66" fillId="0" borderId="0" xfId="132" applyFont="1" applyFill="1" applyBorder="1" applyAlignment="1">
      <alignment horizontal="left"/>
    </xf>
    <xf numFmtId="189" fontId="32" fillId="0" borderId="0" xfId="133" applyNumberFormat="1" applyFont="1" applyFill="1" applyBorder="1" applyAlignment="1">
      <alignment horizontal="center"/>
    </xf>
    <xf numFmtId="0" fontId="33" fillId="64" borderId="6" xfId="53" applyFont="1" applyFill="1" applyBorder="1" applyAlignment="1">
      <alignment horizontal="center" vertical="center" wrapText="1"/>
    </xf>
    <xf numFmtId="3" fontId="33" fillId="64" borderId="6" xfId="53" applyNumberFormat="1" applyFont="1" applyFill="1" applyBorder="1" applyAlignment="1">
      <alignment horizontal="center" vertical="center" wrapText="1"/>
    </xf>
    <xf numFmtId="0" fontId="33" fillId="64" borderId="18" xfId="53" applyFont="1" applyFill="1" applyBorder="1" applyAlignment="1">
      <alignment horizontal="left" vertical="center"/>
    </xf>
    <xf numFmtId="0" fontId="33" fillId="64" borderId="19" xfId="53" applyFont="1" applyFill="1" applyBorder="1" applyAlignment="1">
      <alignment horizontal="center" vertical="center"/>
    </xf>
    <xf numFmtId="0" fontId="33" fillId="64" borderId="20" xfId="53" applyFont="1" applyFill="1" applyBorder="1" applyAlignment="1">
      <alignment horizontal="center" vertical="center" wrapText="1"/>
    </xf>
    <xf numFmtId="0" fontId="32" fillId="64" borderId="14" xfId="0" applyFont="1" applyFill="1" applyBorder="1" applyAlignment="1">
      <alignment horizontal="left" vertical="center"/>
    </xf>
    <xf numFmtId="0" fontId="32" fillId="64" borderId="15" xfId="0" applyFont="1" applyFill="1" applyBorder="1" applyAlignment="1">
      <alignment horizontal="left" vertical="center"/>
    </xf>
    <xf numFmtId="0" fontId="32" fillId="64" borderId="6" xfId="0" applyFont="1" applyFill="1" applyBorder="1"/>
    <xf numFmtId="4" fontId="7" fillId="0" borderId="0" xfId="0" applyNumberFormat="1" applyFont="1" applyFill="1"/>
    <xf numFmtId="4" fontId="32" fillId="0" borderId="17" xfId="0" applyNumberFormat="1" applyFont="1" applyFill="1" applyBorder="1" applyAlignment="1">
      <alignment horizontal="center" vertical="center" wrapText="1"/>
    </xf>
    <xf numFmtId="4" fontId="32" fillId="0" borderId="15" xfId="0" applyNumberFormat="1" applyFont="1" applyFill="1" applyBorder="1" applyAlignment="1">
      <alignment vertical="center"/>
    </xf>
    <xf numFmtId="37" fontId="4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Alignment="1">
      <alignment horizontal="center"/>
    </xf>
    <xf numFmtId="168" fontId="0" fillId="0" borderId="0" xfId="56" applyNumberFormat="1" applyFont="1" applyFill="1" applyBorder="1" applyAlignment="1"/>
    <xf numFmtId="167" fontId="0" fillId="0" borderId="0" xfId="32" applyFont="1" applyFill="1" applyBorder="1" applyAlignment="1"/>
    <xf numFmtId="167" fontId="0" fillId="0" borderId="12" xfId="32" applyFont="1" applyFill="1" applyBorder="1" applyAlignment="1"/>
    <xf numFmtId="3" fontId="4" fillId="0" borderId="0" xfId="0" applyNumberFormat="1" applyFont="1" applyAlignment="1">
      <alignment horizontal="center"/>
    </xf>
    <xf numFmtId="37" fontId="5" fillId="32" borderId="0" xfId="0" applyNumberFormat="1" applyFont="1" applyFill="1" applyBorder="1" applyAlignment="1">
      <alignment horizontal="center"/>
    </xf>
    <xf numFmtId="1" fontId="5" fillId="32" borderId="0" xfId="0" applyNumberFormat="1" applyFont="1" applyFill="1" applyBorder="1" applyAlignment="1">
      <alignment horizontal="center"/>
    </xf>
    <xf numFmtId="4" fontId="5" fillId="32" borderId="0" xfId="0" applyNumberFormat="1" applyFont="1" applyFill="1" applyAlignment="1">
      <alignment horizontal="center"/>
    </xf>
    <xf numFmtId="37" fontId="5" fillId="32" borderId="0" xfId="0" applyNumberFormat="1" applyFont="1" applyFill="1" applyAlignment="1">
      <alignment horizontal="center"/>
    </xf>
    <xf numFmtId="0" fontId="37" fillId="32" borderId="0" xfId="0" applyFont="1" applyFill="1" applyAlignment="1">
      <alignment horizontal="center"/>
    </xf>
    <xf numFmtId="3" fontId="0" fillId="32" borderId="0" xfId="0" applyNumberFormat="1" applyFill="1" applyAlignment="1">
      <alignment horizontal="center"/>
    </xf>
    <xf numFmtId="37" fontId="0" fillId="32" borderId="0" xfId="0" applyNumberFormat="1" applyFill="1" applyAlignment="1">
      <alignment horizontal="center"/>
    </xf>
    <xf numFmtId="3" fontId="5" fillId="0" borderId="0" xfId="0" applyNumberFormat="1" applyFont="1" applyAlignment="1">
      <alignment horizontal="center" wrapText="1"/>
    </xf>
    <xf numFmtId="4" fontId="4" fillId="0" borderId="0" xfId="0" applyNumberFormat="1" applyFont="1" applyAlignment="1">
      <alignment horizontal="center"/>
    </xf>
    <xf numFmtId="3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8" fontId="4" fillId="0" borderId="0" xfId="0" applyNumberFormat="1" applyFont="1" applyAlignment="1">
      <alignment horizontal="center"/>
    </xf>
    <xf numFmtId="37" fontId="0" fillId="0" borderId="0" xfId="0" applyNumberFormat="1"/>
    <xf numFmtId="17" fontId="7" fillId="0" borderId="0" xfId="0" applyNumberFormat="1" applyFont="1" applyFill="1" applyBorder="1"/>
    <xf numFmtId="0" fontId="4" fillId="0" borderId="0" xfId="0" applyFont="1" applyFill="1" applyBorder="1"/>
    <xf numFmtId="173" fontId="38" fillId="0" borderId="0" xfId="0" applyNumberFormat="1" applyFont="1" applyFill="1" applyAlignment="1">
      <alignment horizontal="left"/>
    </xf>
    <xf numFmtId="3" fontId="4" fillId="0" borderId="0" xfId="0" applyNumberFormat="1" applyFont="1" applyAlignment="1">
      <alignment horizontal="left"/>
    </xf>
    <xf numFmtId="3" fontId="4" fillId="0" borderId="16" xfId="0" applyNumberFormat="1" applyFont="1" applyFill="1" applyBorder="1" applyAlignment="1">
      <alignment horizontal="center"/>
    </xf>
    <xf numFmtId="0" fontId="4" fillId="31" borderId="0" xfId="0" applyFont="1" applyFill="1"/>
    <xf numFmtId="3" fontId="4" fillId="0" borderId="0" xfId="0" applyNumberFormat="1" applyFont="1" applyFill="1" applyAlignment="1">
      <alignment horizontal="left"/>
    </xf>
    <xf numFmtId="3" fontId="7" fillId="30" borderId="0" xfId="0" applyNumberFormat="1" applyFont="1" applyFill="1" applyAlignment="1">
      <alignment horizontal="center"/>
    </xf>
    <xf numFmtId="4" fontId="4" fillId="30" borderId="0" xfId="0" applyNumberFormat="1" applyFont="1" applyFill="1" applyAlignment="1">
      <alignment horizontal="center"/>
    </xf>
    <xf numFmtId="4" fontId="7" fillId="30" borderId="0" xfId="0" applyNumberFormat="1" applyFont="1" applyFill="1" applyAlignment="1">
      <alignment horizontal="center"/>
    </xf>
    <xf numFmtId="4" fontId="7" fillId="0" borderId="0" xfId="0" applyNumberFormat="1" applyFont="1"/>
    <xf numFmtId="190" fontId="0" fillId="30" borderId="0" xfId="56" applyNumberFormat="1" applyFont="1" applyFill="1" applyAlignment="1">
      <alignment horizontal="center" wrapText="1"/>
    </xf>
    <xf numFmtId="0" fontId="7" fillId="0" borderId="0" xfId="0" applyFont="1" applyFill="1" applyAlignment="1">
      <alignment horizontal="left"/>
    </xf>
    <xf numFmtId="3" fontId="0" fillId="0" borderId="0" xfId="0" applyNumberFormat="1" applyFill="1" applyAlignment="1">
      <alignment horizontal="left"/>
    </xf>
    <xf numFmtId="176" fontId="0" fillId="0" borderId="0" xfId="0" applyNumberFormat="1"/>
    <xf numFmtId="0" fontId="32" fillId="0" borderId="14" xfId="0" applyFont="1" applyFill="1" applyBorder="1" applyAlignment="1">
      <alignment horizontal="left" vertical="center"/>
    </xf>
    <xf numFmtId="0" fontId="32" fillId="0" borderId="15" xfId="0" applyFont="1" applyFill="1" applyBorder="1" applyAlignment="1">
      <alignment horizontal="left" vertical="center"/>
    </xf>
    <xf numFmtId="0" fontId="32" fillId="0" borderId="16" xfId="0" applyFont="1" applyFill="1" applyBorder="1" applyAlignment="1">
      <alignment horizontal="left" vertical="center"/>
    </xf>
    <xf numFmtId="0" fontId="32" fillId="0" borderId="14" xfId="0" applyFont="1" applyFill="1" applyBorder="1" applyAlignment="1">
      <alignment horizontal="left" vertical="center" wrapText="1"/>
    </xf>
    <xf numFmtId="0" fontId="32" fillId="0" borderId="15" xfId="0" applyFont="1" applyFill="1" applyBorder="1" applyAlignment="1">
      <alignment horizontal="left" vertical="center" wrapText="1"/>
    </xf>
    <xf numFmtId="0" fontId="32" fillId="0" borderId="16" xfId="0" applyFont="1" applyFill="1" applyBorder="1" applyAlignment="1">
      <alignment horizontal="left" vertical="center" wrapText="1"/>
    </xf>
    <xf numFmtId="0" fontId="33" fillId="64" borderId="15" xfId="53" applyFont="1" applyFill="1" applyBorder="1" applyAlignment="1">
      <alignment horizontal="center" vertical="center"/>
    </xf>
    <xf numFmtId="0" fontId="33" fillId="64" borderId="16" xfId="53" applyFont="1" applyFill="1" applyBorder="1" applyAlignment="1">
      <alignment horizontal="center" vertical="center"/>
    </xf>
    <xf numFmtId="0" fontId="33" fillId="64" borderId="14" xfId="53" applyFont="1" applyFill="1" applyBorder="1" applyAlignment="1">
      <alignment horizontal="left" vertical="center"/>
    </xf>
    <xf numFmtId="187" fontId="32" fillId="0" borderId="16" xfId="0" applyNumberFormat="1" applyFont="1" applyFill="1" applyBorder="1" applyAlignment="1">
      <alignment horizontal="left" vertical="center" wrapText="1"/>
    </xf>
    <xf numFmtId="0" fontId="35" fillId="0" borderId="16" xfId="0" applyFont="1" applyFill="1" applyBorder="1" applyAlignment="1">
      <alignment horizontal="left" vertical="center" wrapText="1"/>
    </xf>
    <xf numFmtId="0" fontId="32" fillId="0" borderId="14" xfId="0" applyFont="1" applyFill="1" applyBorder="1" applyAlignment="1">
      <alignment horizontal="left" vertical="center"/>
    </xf>
    <xf numFmtId="0" fontId="32" fillId="32" borderId="0" xfId="0" applyFont="1" applyFill="1" applyAlignment="1">
      <alignment vertical="center"/>
    </xf>
    <xf numFmtId="0" fontId="32" fillId="0" borderId="19" xfId="0" applyFont="1" applyFill="1" applyBorder="1" applyAlignment="1">
      <alignment vertical="center"/>
    </xf>
    <xf numFmtId="176" fontId="32" fillId="0" borderId="0" xfId="32" applyNumberFormat="1" applyFont="1" applyFill="1" applyAlignment="1">
      <alignment vertical="center"/>
    </xf>
    <xf numFmtId="0" fontId="40" fillId="0" borderId="38" xfId="0" applyFont="1" applyFill="1" applyBorder="1"/>
    <xf numFmtId="3" fontId="0" fillId="0" borderId="39" xfId="0" applyNumberFormat="1" applyFill="1" applyBorder="1" applyAlignment="1">
      <alignment horizontal="center"/>
    </xf>
    <xf numFmtId="0" fontId="0" fillId="0" borderId="39" xfId="0" applyFill="1" applyBorder="1" applyAlignment="1">
      <alignment horizontal="center"/>
    </xf>
    <xf numFmtId="0" fontId="4" fillId="0" borderId="39" xfId="0" applyFont="1" applyFill="1" applyBorder="1" applyAlignment="1">
      <alignment horizontal="center"/>
    </xf>
    <xf numFmtId="0" fontId="4" fillId="0" borderId="40" xfId="0" applyFont="1" applyFill="1" applyBorder="1" applyAlignment="1">
      <alignment horizontal="center"/>
    </xf>
    <xf numFmtId="17" fontId="0" fillId="0" borderId="41" xfId="0" applyNumberFormat="1" applyFill="1" applyBorder="1"/>
    <xf numFmtId="37" fontId="5" fillId="0" borderId="42" xfId="0" applyNumberFormat="1" applyFont="1" applyFill="1" applyBorder="1" applyAlignment="1">
      <alignment horizontal="center"/>
    </xf>
    <xf numFmtId="0" fontId="0" fillId="0" borderId="43" xfId="0" applyFill="1" applyBorder="1"/>
    <xf numFmtId="3" fontId="0" fillId="0" borderId="12" xfId="0" applyNumberFormat="1" applyFill="1" applyBorder="1" applyAlignment="1">
      <alignment horizontal="center"/>
    </xf>
    <xf numFmtId="37" fontId="0" fillId="0" borderId="12" xfId="0" applyNumberFormat="1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37" fontId="0" fillId="0" borderId="44" xfId="0" applyNumberFormat="1" applyFill="1" applyBorder="1" applyAlignment="1">
      <alignment horizontal="center"/>
    </xf>
    <xf numFmtId="17" fontId="7" fillId="0" borderId="6" xfId="0" applyNumberFormat="1" applyFont="1" applyFill="1" applyBorder="1"/>
    <xf numFmtId="3" fontId="6" fillId="0" borderId="6" xfId="0" applyNumberFormat="1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wrapText="1"/>
    </xf>
    <xf numFmtId="37" fontId="5" fillId="0" borderId="6" xfId="0" applyNumberFormat="1" applyFont="1" applyFill="1" applyBorder="1" applyAlignment="1">
      <alignment horizontal="center"/>
    </xf>
    <xf numFmtId="1" fontId="5" fillId="0" borderId="6" xfId="0" applyNumberFormat="1" applyFont="1" applyFill="1" applyBorder="1" applyAlignment="1">
      <alignment horizontal="center"/>
    </xf>
    <xf numFmtId="37" fontId="4" fillId="0" borderId="6" xfId="0" applyNumberFormat="1" applyFont="1" applyFill="1" applyBorder="1" applyAlignment="1">
      <alignment horizontal="center"/>
    </xf>
    <xf numFmtId="1" fontId="4" fillId="0" borderId="6" xfId="0" applyNumberFormat="1" applyFont="1" applyFill="1" applyBorder="1" applyAlignment="1">
      <alignment horizontal="center"/>
    </xf>
    <xf numFmtId="0" fontId="0" fillId="0" borderId="6" xfId="0" applyBorder="1"/>
    <xf numFmtId="3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wrapText="1"/>
    </xf>
    <xf numFmtId="17" fontId="0" fillId="0" borderId="6" xfId="0" applyNumberFormat="1" applyFill="1" applyBorder="1"/>
    <xf numFmtId="3" fontId="32" fillId="0" borderId="6" xfId="0" applyNumberFormat="1" applyFont="1" applyFill="1" applyBorder="1" applyAlignment="1">
      <alignment horizontal="center"/>
    </xf>
    <xf numFmtId="188" fontId="32" fillId="0" borderId="6" xfId="0" applyNumberFormat="1" applyFont="1" applyFill="1" applyBorder="1" applyAlignment="1">
      <alignment horizontal="center"/>
    </xf>
    <xf numFmtId="3" fontId="32" fillId="0" borderId="6" xfId="56" applyNumberFormat="1" applyFont="1" applyFill="1" applyBorder="1" applyAlignment="1">
      <alignment horizontal="center"/>
    </xf>
    <xf numFmtId="167" fontId="32" fillId="0" borderId="0" xfId="32" applyFont="1" applyFill="1" applyAlignment="1">
      <alignment vertical="center"/>
    </xf>
    <xf numFmtId="168" fontId="32" fillId="0" borderId="0" xfId="56" applyNumberFormat="1" applyFont="1" applyFill="1" applyAlignment="1">
      <alignment vertical="center"/>
    </xf>
    <xf numFmtId="0" fontId="32" fillId="0" borderId="14" xfId="0" applyFont="1" applyFill="1" applyBorder="1" applyAlignment="1">
      <alignment horizontal="left" vertical="center"/>
    </xf>
    <xf numFmtId="0" fontId="32" fillId="0" borderId="15" xfId="0" applyFont="1" applyFill="1" applyBorder="1" applyAlignment="1">
      <alignment horizontal="left" vertical="center"/>
    </xf>
    <xf numFmtId="1" fontId="0" fillId="0" borderId="0" xfId="0" applyNumberFormat="1"/>
    <xf numFmtId="0" fontId="7" fillId="31" borderId="0" xfId="0" applyFont="1" applyFill="1" applyAlignment="1">
      <alignment wrapText="1"/>
    </xf>
    <xf numFmtId="174" fontId="4" fillId="0" borderId="0" xfId="0" applyNumberFormat="1" applyFont="1" applyAlignment="1">
      <alignment horizontal="center"/>
    </xf>
    <xf numFmtId="3" fontId="32" fillId="0" borderId="15" xfId="52" applyNumberFormat="1" applyFont="1" applyFill="1" applyBorder="1" applyAlignment="1">
      <alignment horizontal="center" vertical="center"/>
    </xf>
    <xf numFmtId="0" fontId="32" fillId="0" borderId="18" xfId="0" applyFont="1" applyFill="1" applyBorder="1" applyAlignment="1">
      <alignment horizontal="left" vertical="center"/>
    </xf>
    <xf numFmtId="3" fontId="32" fillId="0" borderId="19" xfId="52" applyNumberFormat="1" applyFont="1" applyFill="1" applyBorder="1" applyAlignment="1">
      <alignment horizontal="center" vertical="center"/>
    </xf>
    <xf numFmtId="187" fontId="32" fillId="0" borderId="19" xfId="56" applyNumberFormat="1" applyFont="1" applyFill="1" applyBorder="1" applyAlignment="1">
      <alignment horizontal="center"/>
    </xf>
    <xf numFmtId="187" fontId="32" fillId="0" borderId="45" xfId="56" applyNumberFormat="1" applyFont="1" applyFill="1" applyBorder="1" applyAlignment="1">
      <alignment horizontal="center"/>
    </xf>
    <xf numFmtId="0" fontId="33" fillId="64" borderId="6" xfId="0" applyFont="1" applyFill="1" applyBorder="1" applyAlignment="1">
      <alignment horizontal="center" vertical="center"/>
    </xf>
    <xf numFmtId="0" fontId="33" fillId="64" borderId="6" xfId="0" applyFont="1" applyFill="1" applyBorder="1" applyAlignment="1">
      <alignment vertical="center"/>
    </xf>
    <xf numFmtId="168" fontId="32" fillId="0" borderId="6" xfId="56" applyNumberFormat="1" applyFont="1" applyBorder="1" applyAlignment="1">
      <alignment horizontal="center"/>
    </xf>
    <xf numFmtId="3" fontId="32" fillId="0" borderId="0" xfId="0" applyNumberFormat="1" applyFont="1" applyBorder="1" applyAlignment="1">
      <alignment horizontal="left"/>
    </xf>
    <xf numFmtId="3" fontId="32" fillId="0" borderId="0" xfId="0" applyNumberFormat="1" applyFont="1" applyBorder="1" applyAlignment="1">
      <alignment horizontal="center" wrapText="1"/>
    </xf>
    <xf numFmtId="168" fontId="32" fillId="0" borderId="0" xfId="56" applyNumberFormat="1" applyFont="1" applyBorder="1" applyAlignment="1">
      <alignment horizontal="center"/>
    </xf>
    <xf numFmtId="177" fontId="32" fillId="0" borderId="6" xfId="0" applyNumberFormat="1" applyFont="1" applyBorder="1" applyAlignment="1">
      <alignment horizontal="center" wrapText="1"/>
    </xf>
    <xf numFmtId="177" fontId="32" fillId="0" borderId="6" xfId="56" applyNumberFormat="1" applyFont="1" applyBorder="1" applyAlignment="1">
      <alignment horizontal="center"/>
    </xf>
    <xf numFmtId="179" fontId="32" fillId="0" borderId="0" xfId="0" applyNumberFormat="1" applyFont="1" applyFill="1" applyAlignment="1">
      <alignment vertical="center"/>
    </xf>
    <xf numFmtId="186" fontId="32" fillId="0" borderId="0" xfId="32" applyNumberFormat="1" applyFont="1" applyFill="1" applyAlignment="1">
      <alignment vertical="center"/>
    </xf>
    <xf numFmtId="3" fontId="0" fillId="0" borderId="38" xfId="0" applyNumberFormat="1" applyBorder="1" applyAlignment="1">
      <alignment horizontal="center"/>
    </xf>
    <xf numFmtId="3" fontId="0" fillId="0" borderId="39" xfId="0" applyNumberFormat="1" applyBorder="1" applyAlignment="1">
      <alignment horizontal="center"/>
    </xf>
    <xf numFmtId="0" fontId="0" fillId="0" borderId="39" xfId="0" applyBorder="1"/>
    <xf numFmtId="0" fontId="0" fillId="0" borderId="40" xfId="0" applyBorder="1"/>
    <xf numFmtId="3" fontId="0" fillId="0" borderId="41" xfId="0" applyNumberFormat="1" applyBorder="1" applyAlignment="1">
      <alignment horizontal="center"/>
    </xf>
    <xf numFmtId="3" fontId="4" fillId="0" borderId="0" xfId="0" applyNumberFormat="1" applyFont="1" applyFill="1" applyBorder="1" applyAlignment="1">
      <alignment horizontal="center" wrapText="1"/>
    </xf>
    <xf numFmtId="3" fontId="6" fillId="0" borderId="0" xfId="0" applyNumberFormat="1" applyFont="1" applyFill="1" applyBorder="1" applyAlignment="1">
      <alignment horizontal="center" wrapText="1"/>
    </xf>
    <xf numFmtId="3" fontId="6" fillId="0" borderId="42" xfId="0" applyNumberFormat="1" applyFont="1" applyFill="1" applyBorder="1" applyAlignment="1">
      <alignment horizontal="center" wrapText="1"/>
    </xf>
    <xf numFmtId="0" fontId="0" fillId="0" borderId="0" xfId="0" applyBorder="1"/>
    <xf numFmtId="0" fontId="0" fillId="0" borderId="42" xfId="0" applyBorder="1"/>
    <xf numFmtId="0" fontId="0" fillId="0" borderId="41" xfId="0" applyBorder="1"/>
    <xf numFmtId="9" fontId="0" fillId="0" borderId="41" xfId="56" applyFont="1" applyBorder="1" applyAlignment="1">
      <alignment horizontal="center"/>
    </xf>
    <xf numFmtId="9" fontId="0" fillId="0" borderId="0" xfId="56" applyFont="1" applyBorder="1" applyAlignment="1">
      <alignment horizontal="center"/>
    </xf>
    <xf numFmtId="9" fontId="0" fillId="0" borderId="41" xfId="56" applyFont="1" applyFill="1" applyBorder="1" applyAlignment="1">
      <alignment horizontal="center"/>
    </xf>
    <xf numFmtId="9" fontId="0" fillId="0" borderId="0" xfId="56" applyFont="1" applyFill="1" applyBorder="1" applyAlignment="1">
      <alignment horizontal="center"/>
    </xf>
    <xf numFmtId="176" fontId="0" fillId="32" borderId="0" xfId="32" applyNumberFormat="1" applyFont="1" applyFill="1" applyBorder="1" applyAlignment="1">
      <alignment horizontal="center"/>
    </xf>
    <xf numFmtId="176" fontId="0" fillId="32" borderId="42" xfId="32" applyNumberFormat="1" applyFont="1" applyFill="1" applyBorder="1"/>
    <xf numFmtId="10" fontId="4" fillId="0" borderId="0" xfId="56" applyNumberFormat="1" applyFont="1" applyBorder="1"/>
    <xf numFmtId="3" fontId="0" fillId="0" borderId="41" xfId="0" applyNumberFormat="1" applyFill="1" applyBorder="1" applyAlignment="1">
      <alignment horizontal="center"/>
    </xf>
    <xf numFmtId="0" fontId="0" fillId="0" borderId="42" xfId="0" applyFill="1" applyBorder="1"/>
    <xf numFmtId="3" fontId="0" fillId="0" borderId="42" xfId="0" applyNumberFormat="1" applyBorder="1" applyAlignment="1">
      <alignment horizontal="center"/>
    </xf>
    <xf numFmtId="3" fontId="0" fillId="0" borderId="43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3" fontId="0" fillId="0" borderId="44" xfId="0" applyNumberFormat="1" applyBorder="1" applyAlignment="1">
      <alignment horizontal="center"/>
    </xf>
    <xf numFmtId="0" fontId="4" fillId="0" borderId="0" xfId="0" applyFont="1" applyFill="1" applyAlignment="1">
      <alignment horizontal="right"/>
    </xf>
    <xf numFmtId="0" fontId="48" fillId="0" borderId="0" xfId="0" applyFont="1" applyFill="1" applyBorder="1" applyAlignment="1">
      <alignment horizontal="left"/>
    </xf>
    <xf numFmtId="176" fontId="0" fillId="0" borderId="0" xfId="32" applyNumberFormat="1" applyFont="1" applyFill="1" applyBorder="1" applyAlignment="1">
      <alignment horizontal="center"/>
    </xf>
    <xf numFmtId="0" fontId="0" fillId="0" borderId="41" xfId="0" applyFill="1" applyBorder="1"/>
    <xf numFmtId="0" fontId="4" fillId="0" borderId="0" xfId="0" applyFont="1" applyFill="1" applyBorder="1" applyAlignment="1">
      <alignment horizontal="left"/>
    </xf>
    <xf numFmtId="0" fontId="0" fillId="0" borderId="0" xfId="0" applyNumberForma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left"/>
    </xf>
    <xf numFmtId="167" fontId="0" fillId="0" borderId="0" xfId="32" applyFont="1" applyFill="1" applyBorder="1" applyAlignment="1">
      <alignment horizontal="center"/>
    </xf>
    <xf numFmtId="176" fontId="7" fillId="0" borderId="0" xfId="32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0" fontId="7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176" fontId="7" fillId="0" borderId="0" xfId="0" applyNumberFormat="1" applyFont="1" applyFill="1" applyBorder="1" applyAlignment="1">
      <alignment horizontal="center"/>
    </xf>
    <xf numFmtId="3" fontId="7" fillId="0" borderId="41" xfId="0" applyNumberFormat="1" applyFont="1" applyBorder="1" applyAlignment="1">
      <alignment horizontal="center" wrapText="1"/>
    </xf>
    <xf numFmtId="3" fontId="7" fillId="0" borderId="0" xfId="0" applyNumberFormat="1" applyFont="1" applyBorder="1" applyAlignment="1">
      <alignment horizontal="center" wrapText="1"/>
    </xf>
    <xf numFmtId="176" fontId="0" fillId="0" borderId="41" xfId="32" applyNumberFormat="1" applyFont="1" applyFill="1" applyBorder="1"/>
    <xf numFmtId="176" fontId="0" fillId="0" borderId="0" xfId="32" applyNumberFormat="1" applyFont="1" applyFill="1" applyBorder="1"/>
    <xf numFmtId="176" fontId="0" fillId="0" borderId="42" xfId="0" applyNumberFormat="1" applyFill="1" applyBorder="1"/>
    <xf numFmtId="176" fontId="0" fillId="0" borderId="43" xfId="32" applyNumberFormat="1" applyFont="1" applyFill="1" applyBorder="1"/>
    <xf numFmtId="176" fontId="0" fillId="0" borderId="12" xfId="32" applyNumberFormat="1" applyFont="1" applyFill="1" applyBorder="1"/>
    <xf numFmtId="176" fontId="0" fillId="0" borderId="44" xfId="0" applyNumberFormat="1" applyFill="1" applyBorder="1"/>
    <xf numFmtId="0" fontId="49" fillId="0" borderId="0" xfId="0" applyFont="1" applyFill="1"/>
    <xf numFmtId="0" fontId="67" fillId="0" borderId="0" xfId="0" applyFont="1" applyFill="1"/>
    <xf numFmtId="3" fontId="7" fillId="0" borderId="0" xfId="0" applyNumberFormat="1" applyFont="1" applyFill="1" applyAlignment="1">
      <alignment horizontal="left"/>
    </xf>
    <xf numFmtId="16" fontId="33" fillId="0" borderId="0" xfId="0" applyNumberFormat="1" applyFont="1" applyFill="1" applyAlignment="1">
      <alignment horizontal="left" vertical="center"/>
    </xf>
    <xf numFmtId="0" fontId="70" fillId="0" borderId="6" xfId="143" applyFont="1" applyBorder="1" applyAlignment="1" applyProtection="1">
      <alignment horizontal="right"/>
      <protection locked="0"/>
    </xf>
    <xf numFmtId="0" fontId="71" fillId="0" borderId="6" xfId="143" applyFont="1" applyBorder="1" applyAlignment="1" applyProtection="1">
      <alignment horizontal="right"/>
      <protection locked="0"/>
    </xf>
    <xf numFmtId="0" fontId="72" fillId="0" borderId="6" xfId="143" applyFont="1" applyBorder="1" applyProtection="1">
      <protection locked="0"/>
    </xf>
    <xf numFmtId="191" fontId="73" fillId="0" borderId="6" xfId="142" applyNumberFormat="1" applyFont="1" applyFill="1" applyBorder="1" applyProtection="1">
      <protection locked="0"/>
    </xf>
    <xf numFmtId="191" fontId="73" fillId="0" borderId="6" xfId="144" applyNumberFormat="1" applyFont="1" applyFill="1" applyBorder="1" applyProtection="1">
      <protection locked="0"/>
    </xf>
    <xf numFmtId="0" fontId="74" fillId="67" borderId="6" xfId="0" applyFont="1" applyFill="1" applyBorder="1"/>
    <xf numFmtId="0" fontId="74" fillId="67" borderId="6" xfId="0" applyFont="1" applyFill="1" applyBorder="1" applyAlignment="1">
      <alignment horizontal="center" wrapText="1"/>
    </xf>
    <xf numFmtId="0" fontId="74" fillId="0" borderId="6" xfId="0" applyFont="1" applyBorder="1"/>
    <xf numFmtId="176" fontId="74" fillId="0" borderId="6" xfId="32" applyNumberFormat="1" applyFont="1" applyBorder="1"/>
    <xf numFmtId="3" fontId="74" fillId="0" borderId="6" xfId="0" applyNumberFormat="1" applyFont="1" applyBorder="1"/>
    <xf numFmtId="0" fontId="32" fillId="0" borderId="14" xfId="0" applyFont="1" applyFill="1" applyBorder="1" applyAlignment="1">
      <alignment horizontal="left" vertical="center" wrapText="1"/>
    </xf>
    <xf numFmtId="0" fontId="32" fillId="0" borderId="15" xfId="0" applyFont="1" applyFill="1" applyBorder="1" applyAlignment="1">
      <alignment horizontal="left" vertical="center" wrapText="1"/>
    </xf>
    <xf numFmtId="0" fontId="32" fillId="0" borderId="16" xfId="0" applyFont="1" applyFill="1" applyBorder="1" applyAlignment="1">
      <alignment horizontal="left" vertical="center" wrapText="1"/>
    </xf>
    <xf numFmtId="0" fontId="32" fillId="0" borderId="14" xfId="0" applyFont="1" applyFill="1" applyBorder="1" applyAlignment="1">
      <alignment horizontal="left" vertical="center"/>
    </xf>
    <xf numFmtId="0" fontId="32" fillId="0" borderId="15" xfId="0" applyFont="1" applyFill="1" applyBorder="1" applyAlignment="1">
      <alignment horizontal="left" vertical="center"/>
    </xf>
    <xf numFmtId="0" fontId="32" fillId="0" borderId="16" xfId="0" applyFont="1" applyFill="1" applyBorder="1" applyAlignment="1">
      <alignment horizontal="left" vertical="center"/>
    </xf>
    <xf numFmtId="0" fontId="33" fillId="64" borderId="14" xfId="53" applyFont="1" applyFill="1" applyBorder="1" applyAlignment="1">
      <alignment horizontal="left" vertical="center"/>
    </xf>
    <xf numFmtId="0" fontId="33" fillId="64" borderId="15" xfId="53" applyFont="1" applyFill="1" applyBorder="1" applyAlignment="1">
      <alignment horizontal="left" vertical="center"/>
    </xf>
    <xf numFmtId="0" fontId="33" fillId="64" borderId="16" xfId="53" applyFont="1" applyFill="1" applyBorder="1" applyAlignment="1">
      <alignment horizontal="left" vertical="center"/>
    </xf>
    <xf numFmtId="0" fontId="32" fillId="0" borderId="21" xfId="0" applyFont="1" applyFill="1" applyBorder="1" applyAlignment="1">
      <alignment horizontal="left" vertical="center" wrapText="1"/>
    </xf>
    <xf numFmtId="0" fontId="32" fillId="0" borderId="22" xfId="0" applyFont="1" applyFill="1" applyBorder="1" applyAlignment="1">
      <alignment horizontal="left" vertical="center" wrapText="1"/>
    </xf>
    <xf numFmtId="0" fontId="32" fillId="0" borderId="28" xfId="0" applyFont="1" applyFill="1" applyBorder="1" applyAlignment="1">
      <alignment horizontal="left" vertical="center" wrapText="1"/>
    </xf>
    <xf numFmtId="0" fontId="33" fillId="64" borderId="14" xfId="53" applyFont="1" applyFill="1" applyBorder="1" applyAlignment="1">
      <alignment horizontal="center" vertical="center"/>
    </xf>
    <xf numFmtId="0" fontId="33" fillId="64" borderId="15" xfId="53" applyFont="1" applyFill="1" applyBorder="1" applyAlignment="1">
      <alignment horizontal="center" vertical="center"/>
    </xf>
    <xf numFmtId="0" fontId="33" fillId="64" borderId="16" xfId="53" applyFont="1" applyFill="1" applyBorder="1" applyAlignment="1">
      <alignment horizontal="center" vertical="center"/>
    </xf>
    <xf numFmtId="187" fontId="32" fillId="0" borderId="14" xfId="0" applyNumberFormat="1" applyFont="1" applyFill="1" applyBorder="1" applyAlignment="1">
      <alignment horizontal="left" vertical="center" wrapText="1"/>
    </xf>
    <xf numFmtId="187" fontId="32" fillId="0" borderId="15" xfId="0" applyNumberFormat="1" applyFont="1" applyFill="1" applyBorder="1" applyAlignment="1">
      <alignment horizontal="left" vertical="center" wrapText="1"/>
    </xf>
    <xf numFmtId="187" fontId="32" fillId="0" borderId="16" xfId="0" applyNumberFormat="1" applyFont="1" applyFill="1" applyBorder="1" applyAlignment="1">
      <alignment horizontal="left" vertical="center" wrapText="1"/>
    </xf>
    <xf numFmtId="3" fontId="32" fillId="0" borderId="14" xfId="0" applyNumberFormat="1" applyFont="1" applyFill="1" applyBorder="1" applyAlignment="1">
      <alignment horizontal="left" vertical="center"/>
    </xf>
    <xf numFmtId="3" fontId="32" fillId="0" borderId="15" xfId="0" applyNumberFormat="1" applyFont="1" applyFill="1" applyBorder="1" applyAlignment="1">
      <alignment horizontal="left" vertical="center"/>
    </xf>
    <xf numFmtId="3" fontId="32" fillId="0" borderId="16" xfId="0" applyNumberFormat="1" applyFont="1" applyFill="1" applyBorder="1" applyAlignment="1">
      <alignment horizontal="left" vertical="center"/>
    </xf>
    <xf numFmtId="0" fontId="32" fillId="0" borderId="18" xfId="0" applyFont="1" applyFill="1" applyBorder="1" applyAlignment="1">
      <alignment horizontal="center" vertical="center"/>
    </xf>
    <xf numFmtId="0" fontId="32" fillId="0" borderId="19" xfId="0" applyFont="1" applyFill="1" applyBorder="1" applyAlignment="1">
      <alignment horizontal="center" vertical="center"/>
    </xf>
    <xf numFmtId="0" fontId="32" fillId="0" borderId="45" xfId="0" applyFont="1" applyFill="1" applyBorder="1" applyAlignment="1">
      <alignment horizontal="center" vertical="center"/>
    </xf>
    <xf numFmtId="3" fontId="33" fillId="0" borderId="14" xfId="0" applyNumberFormat="1" applyFont="1" applyFill="1" applyBorder="1" applyAlignment="1">
      <alignment horizontal="left" vertical="center"/>
    </xf>
    <xf numFmtId="3" fontId="33" fillId="0" borderId="15" xfId="0" applyNumberFormat="1" applyFont="1" applyFill="1" applyBorder="1" applyAlignment="1">
      <alignment horizontal="left" vertical="center"/>
    </xf>
    <xf numFmtId="3" fontId="33" fillId="0" borderId="16" xfId="0" applyNumberFormat="1" applyFont="1" applyFill="1" applyBorder="1" applyAlignment="1">
      <alignment horizontal="left" vertical="center"/>
    </xf>
    <xf numFmtId="0" fontId="35" fillId="0" borderId="14" xfId="0" applyFont="1" applyFill="1" applyBorder="1" applyAlignment="1">
      <alignment horizontal="left" vertical="center" wrapText="1"/>
    </xf>
    <xf numFmtId="0" fontId="35" fillId="0" borderId="15" xfId="0" applyFont="1" applyFill="1" applyBorder="1" applyAlignment="1">
      <alignment horizontal="left" vertical="center" wrapText="1"/>
    </xf>
    <xf numFmtId="0" fontId="35" fillId="0" borderId="16" xfId="0" applyFont="1" applyFill="1" applyBorder="1" applyAlignment="1">
      <alignment horizontal="left" vertical="center" wrapText="1"/>
    </xf>
    <xf numFmtId="0" fontId="33" fillId="0" borderId="14" xfId="0" applyFont="1" applyFill="1" applyBorder="1" applyAlignment="1">
      <alignment horizontal="left" vertical="center"/>
    </xf>
    <xf numFmtId="0" fontId="33" fillId="0" borderId="15" xfId="0" applyFont="1" applyFill="1" applyBorder="1" applyAlignment="1">
      <alignment horizontal="left" vertical="center"/>
    </xf>
    <xf numFmtId="0" fontId="33" fillId="0" borderId="16" xfId="0" applyFont="1" applyFill="1" applyBorder="1" applyAlignment="1">
      <alignment horizontal="left" vertical="center"/>
    </xf>
    <xf numFmtId="0" fontId="33" fillId="0" borderId="14" xfId="0" applyFont="1" applyBorder="1" applyAlignment="1">
      <alignment horizontal="left"/>
    </xf>
    <xf numFmtId="0" fontId="33" fillId="0" borderId="15" xfId="0" applyFont="1" applyBorder="1" applyAlignment="1">
      <alignment horizontal="left"/>
    </xf>
    <xf numFmtId="0" fontId="33" fillId="0" borderId="16" xfId="0" applyFont="1" applyBorder="1" applyAlignment="1">
      <alignment horizontal="left"/>
    </xf>
    <xf numFmtId="0" fontId="33" fillId="0" borderId="0" xfId="0" applyFont="1" applyFill="1" applyBorder="1" applyAlignment="1">
      <alignment horizontal="left" vertical="center"/>
    </xf>
    <xf numFmtId="0" fontId="33" fillId="64" borderId="14" xfId="0" applyFont="1" applyFill="1" applyBorder="1" applyAlignment="1">
      <alignment horizontal="center" vertical="center"/>
    </xf>
    <xf numFmtId="0" fontId="33" fillId="64" borderId="15" xfId="0" applyFont="1" applyFill="1" applyBorder="1" applyAlignment="1">
      <alignment horizontal="center" vertical="center"/>
    </xf>
    <xf numFmtId="0" fontId="33" fillId="64" borderId="16" xfId="0" applyFont="1" applyFill="1" applyBorder="1" applyAlignment="1">
      <alignment horizontal="center" vertical="center"/>
    </xf>
    <xf numFmtId="0" fontId="33" fillId="64" borderId="6" xfId="0" applyFont="1" applyFill="1" applyBorder="1" applyAlignment="1">
      <alignment horizontal="center" vertical="center"/>
    </xf>
    <xf numFmtId="0" fontId="32" fillId="0" borderId="14" xfId="0" applyFont="1" applyFill="1" applyBorder="1" applyAlignment="1">
      <alignment horizontal="center" vertical="center"/>
    </xf>
    <xf numFmtId="0" fontId="32" fillId="0" borderId="15" xfId="0" applyFont="1" applyFill="1" applyBorder="1" applyAlignment="1">
      <alignment horizontal="center" vertical="center"/>
    </xf>
    <xf numFmtId="0" fontId="32" fillId="0" borderId="16" xfId="0" applyFont="1" applyFill="1" applyBorder="1" applyAlignment="1">
      <alignment horizontal="center" vertical="center"/>
    </xf>
    <xf numFmtId="0" fontId="33" fillId="64" borderId="18" xfId="0" applyFont="1" applyFill="1" applyBorder="1" applyAlignment="1">
      <alignment horizontal="center" vertical="center" wrapText="1"/>
    </xf>
    <xf numFmtId="0" fontId="33" fillId="64" borderId="19" xfId="0" applyFont="1" applyFill="1" applyBorder="1" applyAlignment="1">
      <alignment horizontal="center" vertical="center" wrapText="1"/>
    </xf>
    <xf numFmtId="0" fontId="33" fillId="64" borderId="45" xfId="0" applyFont="1" applyFill="1" applyBorder="1" applyAlignment="1">
      <alignment horizontal="center" vertical="center" wrapText="1"/>
    </xf>
    <xf numFmtId="0" fontId="33" fillId="64" borderId="21" xfId="0" applyFont="1" applyFill="1" applyBorder="1" applyAlignment="1">
      <alignment horizontal="center" vertical="center" wrapText="1"/>
    </xf>
    <xf numFmtId="0" fontId="33" fillId="64" borderId="22" xfId="0" applyFont="1" applyFill="1" applyBorder="1" applyAlignment="1">
      <alignment horizontal="center" vertical="center" wrapText="1"/>
    </xf>
    <xf numFmtId="0" fontId="33" fillId="64" borderId="28" xfId="0" applyFont="1" applyFill="1" applyBorder="1" applyAlignment="1">
      <alignment horizontal="center" vertical="center" wrapText="1"/>
    </xf>
    <xf numFmtId="0" fontId="33" fillId="64" borderId="6" xfId="0" applyFont="1" applyFill="1" applyBorder="1" applyAlignment="1">
      <alignment horizontal="center" vertical="center" wrapText="1"/>
    </xf>
    <xf numFmtId="189" fontId="69" fillId="66" borderId="6" xfId="142" applyNumberFormat="1" applyFont="1" applyFill="1" applyBorder="1" applyAlignment="1" applyProtection="1">
      <alignment horizontal="center" vertical="top"/>
      <protection locked="0"/>
    </xf>
    <xf numFmtId="3" fontId="7" fillId="32" borderId="25" xfId="0" applyNumberFormat="1" applyFont="1" applyFill="1" applyBorder="1" applyAlignment="1">
      <alignment horizontal="center"/>
    </xf>
    <xf numFmtId="3" fontId="7" fillId="32" borderId="26" xfId="0" applyNumberFormat="1" applyFont="1" applyFill="1" applyBorder="1" applyAlignment="1">
      <alignment horizontal="center"/>
    </xf>
    <xf numFmtId="3" fontId="4" fillId="0" borderId="0" xfId="0" applyNumberFormat="1" applyFont="1" applyAlignment="1">
      <alignment horizontal="center" wrapText="1"/>
    </xf>
    <xf numFmtId="3" fontId="5" fillId="0" borderId="0" xfId="0" applyNumberFormat="1" applyFont="1" applyAlignment="1">
      <alignment horizontal="center" wrapText="1"/>
    </xf>
  </cellXfs>
  <cellStyles count="145">
    <cellStyle name="$" xfId="1"/>
    <cellStyle name="$.00" xfId="2"/>
    <cellStyle name="$_9. Rev2Cost_GDPIPI" xfId="121"/>
    <cellStyle name="$_lists" xfId="122"/>
    <cellStyle name="$_lists_4. Current Monthly Fixed Charge" xfId="123"/>
    <cellStyle name="$_Sheet4" xfId="124"/>
    <cellStyle name="$M" xfId="3"/>
    <cellStyle name="$M.00" xfId="4"/>
    <cellStyle name="$M_9. Rev2Cost_GDPIPI" xfId="125"/>
    <cellStyle name="20% - Accent1" xfId="5" builtinId="30" customBuiltin="1"/>
    <cellStyle name="20% - Accent1 2" xfId="88"/>
    <cellStyle name="20% - Accent2" xfId="6" builtinId="34" customBuiltin="1"/>
    <cellStyle name="20% - Accent2 2" xfId="92"/>
    <cellStyle name="20% - Accent3" xfId="7" builtinId="38" customBuiltin="1"/>
    <cellStyle name="20% - Accent3 2" xfId="96"/>
    <cellStyle name="20% - Accent4" xfId="8" builtinId="42" customBuiltin="1"/>
    <cellStyle name="20% - Accent4 2" xfId="100"/>
    <cellStyle name="20% - Accent5" xfId="9" builtinId="46" customBuiltin="1"/>
    <cellStyle name="20% - Accent5 2" xfId="104"/>
    <cellStyle name="20% - Accent6" xfId="10" builtinId="50" customBuiltin="1"/>
    <cellStyle name="20% - Accent6 2" xfId="108"/>
    <cellStyle name="40% - Accent1" xfId="11" builtinId="31" customBuiltin="1"/>
    <cellStyle name="40% - Accent1 2" xfId="89"/>
    <cellStyle name="40% - Accent2" xfId="12" builtinId="35" customBuiltin="1"/>
    <cellStyle name="40% - Accent2 2" xfId="93"/>
    <cellStyle name="40% - Accent3" xfId="13" builtinId="39" customBuiltin="1"/>
    <cellStyle name="40% - Accent3 2" xfId="97"/>
    <cellStyle name="40% - Accent4" xfId="14" builtinId="43" customBuiltin="1"/>
    <cellStyle name="40% - Accent4 2" xfId="101"/>
    <cellStyle name="40% - Accent5" xfId="15" builtinId="47" customBuiltin="1"/>
    <cellStyle name="40% - Accent5 2" xfId="105"/>
    <cellStyle name="40% - Accent6" xfId="16" builtinId="51" customBuiltin="1"/>
    <cellStyle name="40% - Accent6 2" xfId="109"/>
    <cellStyle name="60% - Accent1" xfId="17" builtinId="32" customBuiltin="1"/>
    <cellStyle name="60% - Accent1 2" xfId="90"/>
    <cellStyle name="60% - Accent2" xfId="18" builtinId="36" customBuiltin="1"/>
    <cellStyle name="60% - Accent2 2" xfId="94"/>
    <cellStyle name="60% - Accent3" xfId="19" builtinId="40" customBuiltin="1"/>
    <cellStyle name="60% - Accent3 2" xfId="98"/>
    <cellStyle name="60% - Accent4" xfId="20" builtinId="44" customBuiltin="1"/>
    <cellStyle name="60% - Accent4 2" xfId="102"/>
    <cellStyle name="60% - Accent5" xfId="21" builtinId="48" customBuiltin="1"/>
    <cellStyle name="60% - Accent5 2" xfId="106"/>
    <cellStyle name="60% - Accent6" xfId="22" builtinId="52" customBuiltin="1"/>
    <cellStyle name="60% - Accent6 2" xfId="110"/>
    <cellStyle name="Accent1" xfId="23" builtinId="29" customBuiltin="1"/>
    <cellStyle name="Accent1 2" xfId="87"/>
    <cellStyle name="Accent2" xfId="24" builtinId="33" customBuiltin="1"/>
    <cellStyle name="Accent2 2" xfId="91"/>
    <cellStyle name="Accent3" xfId="25" builtinId="37" customBuiltin="1"/>
    <cellStyle name="Accent3 2" xfId="95"/>
    <cellStyle name="Accent4" xfId="26" builtinId="41" customBuiltin="1"/>
    <cellStyle name="Accent4 2" xfId="99"/>
    <cellStyle name="Accent5" xfId="27" builtinId="45" customBuiltin="1"/>
    <cellStyle name="Accent5 2" xfId="103"/>
    <cellStyle name="Accent6" xfId="28" builtinId="49" customBuiltin="1"/>
    <cellStyle name="Accent6 2" xfId="107"/>
    <cellStyle name="Bad" xfId="29" builtinId="27" customBuiltin="1"/>
    <cellStyle name="Bad 2" xfId="76"/>
    <cellStyle name="Calculation" xfId="30" builtinId="22" customBuiltin="1"/>
    <cellStyle name="Calculation 2" xfId="80"/>
    <cellStyle name="Check Cell" xfId="31" builtinId="23" customBuiltin="1"/>
    <cellStyle name="Check Cell 2" xfId="82"/>
    <cellStyle name="Comma" xfId="32" builtinId="3"/>
    <cellStyle name="Comma 2" xfId="112"/>
    <cellStyle name="Comma 2 2" xfId="137"/>
    <cellStyle name="Comma 3" xfId="115"/>
    <cellStyle name="Comma 3 2" xfId="133"/>
    <cellStyle name="Comma 3 2 2" xfId="142"/>
    <cellStyle name="Comma 3 3" xfId="138"/>
    <cellStyle name="Comma 4" xfId="120"/>
    <cellStyle name="Comma 5" xfId="67"/>
    <cellStyle name="Comma_OPDC_RA2009_Rates Design" xfId="33"/>
    <cellStyle name="Comma0" xfId="34"/>
    <cellStyle name="Currency 2" xfId="119"/>
    <cellStyle name="Currency 3" xfId="135"/>
    <cellStyle name="Currency 4" xfId="68"/>
    <cellStyle name="Currency 5" xfId="139"/>
    <cellStyle name="Currency0" xfId="35"/>
    <cellStyle name="Date" xfId="36"/>
    <cellStyle name="Explanatory Text" xfId="37" builtinId="53" customBuiltin="1"/>
    <cellStyle name="Explanatory Text 2" xfId="85"/>
    <cellStyle name="Fixed" xfId="38"/>
    <cellStyle name="Good" xfId="39" builtinId="26" customBuiltin="1"/>
    <cellStyle name="Good 2" xfId="75"/>
    <cellStyle name="Grey" xfId="40"/>
    <cellStyle name="Grey 2" xfId="126"/>
    <cellStyle name="Heading 1" xfId="41" builtinId="16" customBuiltin="1"/>
    <cellStyle name="Heading 1 2" xfId="71"/>
    <cellStyle name="Heading 2" xfId="42" builtinId="17" customBuiltin="1"/>
    <cellStyle name="Heading 2 2" xfId="70"/>
    <cellStyle name="Heading 3" xfId="43" builtinId="18" customBuiltin="1"/>
    <cellStyle name="Heading 3 2" xfId="73"/>
    <cellStyle name="Heading 4" xfId="44" builtinId="19" customBuiltin="1"/>
    <cellStyle name="Heading 4 2" xfId="74"/>
    <cellStyle name="Input" xfId="45" builtinId="20" customBuiltin="1"/>
    <cellStyle name="Input [yellow]" xfId="46"/>
    <cellStyle name="Input [yellow] 2" xfId="127"/>
    <cellStyle name="Input 2" xfId="78"/>
    <cellStyle name="Linked Cell" xfId="47" builtinId="24" customBuiltin="1"/>
    <cellStyle name="Linked Cell 2" xfId="81"/>
    <cellStyle name="M" xfId="48"/>
    <cellStyle name="M.00" xfId="49"/>
    <cellStyle name="M_9. Rev2Cost_GDPIPI" xfId="128"/>
    <cellStyle name="M_lists" xfId="129"/>
    <cellStyle name="M_lists_4. Current Monthly Fixed Charge" xfId="130"/>
    <cellStyle name="M_Sheet4" xfId="131"/>
    <cellStyle name="Neutral" xfId="50" builtinId="28" customBuiltin="1"/>
    <cellStyle name="Neutral 2" xfId="77"/>
    <cellStyle name="Normal" xfId="0" builtinId="0"/>
    <cellStyle name="Normal - Style1" xfId="51"/>
    <cellStyle name="Normal 2" xfId="65"/>
    <cellStyle name="Normal 2 2 2 2 2" xfId="140"/>
    <cellStyle name="Normal 3" xfId="72"/>
    <cellStyle name="Normal 4" xfId="111"/>
    <cellStyle name="Normal 5" xfId="114"/>
    <cellStyle name="Normal 5 2" xfId="132"/>
    <cellStyle name="Normal 5 2 2" xfId="143"/>
    <cellStyle name="Normal 6" xfId="117"/>
    <cellStyle name="Normal 7" xfId="66"/>
    <cellStyle name="Normal_OEB Trial Balance - Regulatory-July24-07" xfId="52"/>
    <cellStyle name="Normal_Sheet2" xfId="53"/>
    <cellStyle name="Note" xfId="54" builtinId="10" customBuiltin="1"/>
    <cellStyle name="Note 2" xfId="84"/>
    <cellStyle name="Output" xfId="55" builtinId="21" customBuiltin="1"/>
    <cellStyle name="Output 2" xfId="79"/>
    <cellStyle name="Percent" xfId="56" builtinId="5"/>
    <cellStyle name="Percent [2]" xfId="57"/>
    <cellStyle name="Percent 12" xfId="141"/>
    <cellStyle name="Percent 2" xfId="113"/>
    <cellStyle name="Percent 3" xfId="116"/>
    <cellStyle name="Percent 3 2" xfId="134"/>
    <cellStyle name="Percent 3 2 2" xfId="144"/>
    <cellStyle name="Percent 4" xfId="118"/>
    <cellStyle name="Style 23" xfId="136"/>
    <cellStyle name="STYLE1" xfId="58"/>
    <cellStyle name="STYLE2" xfId="59"/>
    <cellStyle name="STYLE4" xfId="60"/>
    <cellStyle name="Subtotal" xfId="61"/>
    <cellStyle name="Title" xfId="62" builtinId="15" customBuiltin="1"/>
    <cellStyle name="Title 2" xfId="69"/>
    <cellStyle name="Total" xfId="63" builtinId="25" customBuiltin="1"/>
    <cellStyle name="Total 2" xfId="86"/>
    <cellStyle name="Warning Text" xfId="64" builtinId="11" customBuiltin="1"/>
    <cellStyle name="Warning Text 2" xfId="8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\Richmond%20Hill\Year%20End\RHH96YE_%20MEA%20Statistic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bacon/My%20Documents/Orillia/2010%20Rates/2010%20Rate%20File%20-%20July%202,%202009/Dummy%20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wanner/Local%20Settings/Temporary%20Internet%20Files/OLKC/Dummy%20Fi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Tennant/Return%20on%20Equity%20and%20WC/RateMake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maw/Local%20Settings/Temporary%20Internet%20Files/OLKBC/Exhibit%203%20Distribution%20Revenue%20Throughputs%20-%20Blank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Documents%20and%20Settings\bbacon\My%20Documents\Orillia\2010%20Rates\2010%20Rate%20File%20-%20July%202,%202009\Documents%20and%20Settings\mmaw\Local%20Settings\Temporary%20Internet%20Files\OLKBC\Exhibit%203%20Distribution%20Revenue%20Throughputs%20-%20Blank.xls?9891282D" TargetMode="External"/><Relationship Id="rId1" Type="http://schemas.openxmlformats.org/officeDocument/2006/relationships/externalLinkPath" Target="file:///\\9891282D\Exhibit%203%20Distribution%20Revenue%20Throughputs%20-%20Blank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hurley/Desktop/Lakeland%20Rate%20App/LPDL_2009%20Revenue%20Requiremen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bacon/My%20Documents/Orillia/2010%20Rates/2010%20Rate%20File%20-%20July%202,%202009/Documents%20and%20Settings/phurley/Desktop/Lakeland%20Rate%20App/LPDL_2009%20Revenue%20Requireme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A Statistics"/>
      <sheetName val="North York Stat"/>
      <sheetName val="MEA Title Pge"/>
      <sheetName val="Old MEA Statistics"/>
    </sheetNames>
    <sheetDataSet>
      <sheetData sheetId="0" refreshError="1"/>
      <sheetData sheetId="1" refreshError="1"/>
      <sheetData sheetId="2" refreshError="1"/>
      <sheetData sheetId="3" refreshError="1">
        <row r="250">
          <cell r="B250" t="str">
            <v xml:space="preserve">   Average for medium size utilities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A1.Admin"/>
      <sheetName val="A2.HistoricalBalances"/>
      <sheetName val="A3.CustomerClasses"/>
      <sheetName val="B1.GrossCapital"/>
      <sheetName val="B2.CapitalAmortization"/>
      <sheetName val="B3.NetCapital"/>
      <sheetName val="B4.OMA"/>
      <sheetName val="B5.DeferralBalances"/>
      <sheetName val="C1.LoadForecast"/>
      <sheetName val="C2.PassthruRates"/>
      <sheetName val="C3.DistRates"/>
      <sheetName val="C4.DistRevenue"/>
      <sheetName val="C5.ApprovedRecovery"/>
      <sheetName val="C6.ProposedRecoveries"/>
      <sheetName val="C7.RateRiders"/>
      <sheetName val="C8.ServiceRevenues"/>
      <sheetName val="C9.RevenueOffsets"/>
      <sheetName val="D1.RateBase"/>
      <sheetName val="D2.Debt"/>
      <sheetName val="D3.CapitalStructure"/>
      <sheetName val="E1.BridgeYrPL"/>
      <sheetName val="E2.TestYrPL"/>
      <sheetName val="E3.CapitalInfo"/>
      <sheetName val="E4.PILsResults"/>
      <sheetName val="F1.RevRequirement"/>
      <sheetName val="F2.DirectRevenues"/>
      <sheetName val="F3.CostAllocation"/>
      <sheetName val="F4.RevenueAllocation"/>
      <sheetName val="F5.RateDesign"/>
      <sheetName val="F6.RatesCheck"/>
      <sheetName val="F7.FinalRates"/>
      <sheetName val="F8.BillImpacts"/>
      <sheetName val="G1.BridgeYrProForma"/>
      <sheetName val="G2.TestYrProForma"/>
      <sheetName val="G3.TestYrNewRates"/>
      <sheetName val="G4.VarBS"/>
      <sheetName val="G5.VarPL"/>
      <sheetName val="G6.VarRateBase"/>
      <sheetName val="G7.VarSuffDef"/>
      <sheetName val="X11.RatesSched"/>
      <sheetName val="X12.PLtrend"/>
      <sheetName val="X13.PLvariances"/>
      <sheetName val="X14.BStrend"/>
      <sheetName val="X15.BSvariances"/>
      <sheetName val="X21.CapitalCont"/>
      <sheetName val="X22.RBtrend"/>
      <sheetName val="X23.RBvariances"/>
      <sheetName val="X71.RevSuffDef"/>
      <sheetName val="X72.RevenueReq"/>
      <sheetName val="Y1.PrescribedRates"/>
      <sheetName val="Y2.ChartOfAccts"/>
      <sheetName val="Y3.AmortAccts"/>
      <sheetName val="Y4.PassthruAccts"/>
      <sheetName val="Y5.DistRateAccts"/>
      <sheetName val="Y6.ServiceRevAccts"/>
      <sheetName val="Y7.RPPrates"/>
      <sheetName val="Y8.VarianceThresholds"/>
      <sheetName val="Z1.ModelVariables"/>
      <sheetName val="Z2.ModelTables"/>
      <sheetName val="Z0.Disclaimer"/>
    </sheetNames>
    <sheetDataSet>
      <sheetData sheetId="0"/>
      <sheetData sheetId="1" refreshError="1">
        <row r="13">
          <cell r="C13">
            <v>2009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>
        <row r="10">
          <cell r="C10" t="str">
            <v xml:space="preserve">_x000D_
</v>
          </cell>
        </row>
        <row r="12">
          <cell r="C12" t="str">
            <v>2006 EDR Approved</v>
          </cell>
        </row>
        <row r="14">
          <cell r="C14" t="str">
            <v> </v>
          </cell>
        </row>
      </sheetData>
      <sheetData sheetId="59"/>
      <sheetData sheetId="6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oughput Revenue Analysis"/>
      <sheetName val="Distribution Revenue by Source"/>
      <sheetName val="Unit Revenues"/>
      <sheetName val="Dx. Revenue - Norm. Forecasts"/>
      <sheetName val="Forecast Data 2006 - 2008"/>
      <sheetName val="Distribution Rates 2006 - 2008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oughput Revenue Analysis"/>
      <sheetName val="Distribution Revenue by Source"/>
      <sheetName val="Unit Revenues"/>
      <sheetName val="Dx. Revenue - Norm. Forecasts"/>
      <sheetName val="Forecast Data 2006 - 2008"/>
      <sheetName val="Distribution Rates 2006 - 20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  <row r="76">
          <cell r="E76">
            <v>36161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FA Continuity 2006"/>
      <sheetName val="FA Continuity 2007"/>
      <sheetName val="FA Continuity 2008"/>
      <sheetName val="FA Continuity 2009"/>
      <sheetName val="Trial Balance"/>
      <sheetName val="2006 Balance Sheet"/>
      <sheetName val="2006 Income Statement"/>
      <sheetName val="2007 Balance Sheet"/>
      <sheetName val="2007 Income Statement"/>
      <sheetName val="2008 Balance Sheet"/>
      <sheetName val="2008 Income Statement"/>
      <sheetName val="2009 Balance Sheet"/>
      <sheetName val="2009 Income Statement"/>
      <sheetName val="IS Comparison"/>
      <sheetName val="Debt &amp; Capital Structure"/>
      <sheetName val="Return on Capital"/>
      <sheetName val="Tax rates"/>
      <sheetName val="CCA Continuity 2008"/>
      <sheetName val="CCA Continuity 2009"/>
      <sheetName val="Reserves Continuity"/>
      <sheetName val="Corporation Loss Continuity"/>
      <sheetName val="Interest Schedule"/>
      <sheetName val="Tax Adjustments 2008"/>
      <sheetName val="Tax Adjustments 2009"/>
      <sheetName val="2009 Rev Deficiency"/>
      <sheetName val="Capital Tax &amp; Expense Schedules"/>
      <sheetName val="Revenue Require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0">
          <cell r="B10" t="str">
            <v>Service Revenue Requirement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FA Continuity 2006"/>
      <sheetName val="FA Continuity 2007"/>
      <sheetName val="FA Continuity 2008"/>
      <sheetName val="FA Continuity 2009"/>
      <sheetName val="Trial Balance"/>
      <sheetName val="2006 Balance Sheet"/>
      <sheetName val="2006 Income Statement"/>
      <sheetName val="2007 Balance Sheet"/>
      <sheetName val="2007 Income Statement"/>
      <sheetName val="2008 Balance Sheet"/>
      <sheetName val="2008 Income Statement"/>
      <sheetName val="2009 Balance Sheet"/>
      <sheetName val="2009 Income Statement"/>
      <sheetName val="IS Comparison"/>
      <sheetName val="Debt &amp; Capital Structure"/>
      <sheetName val="Return on Capital"/>
      <sheetName val="Tax rates"/>
      <sheetName val="CCA Continuity 2008"/>
      <sheetName val="CCA Continuity 2009"/>
      <sheetName val="Reserves Continuity"/>
      <sheetName val="Corporation Loss Continuity"/>
      <sheetName val="Interest Schedule"/>
      <sheetName val="Tax Adjustments 2008"/>
      <sheetName val="Tax Adjustments 2009"/>
      <sheetName val="2009 Rev Deficiency"/>
      <sheetName val="Capital Tax &amp; Expense Schedules"/>
      <sheetName val="Revenue Require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0">
          <cell r="B10" t="str">
            <v>Service Revenue Requirement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661"/>
  <sheetViews>
    <sheetView showGridLines="0" tabSelected="1" topLeftCell="A340" workbookViewId="0">
      <selection activeCell="R355" sqref="R355"/>
    </sheetView>
  </sheetViews>
  <sheetFormatPr defaultColWidth="12.7265625" defaultRowHeight="15" customHeight="1" x14ac:dyDescent="0.25"/>
  <cols>
    <col min="1" max="1" width="1.1796875" style="60" customWidth="1"/>
    <col min="2" max="3" width="12.7265625" style="62" customWidth="1"/>
    <col min="4" max="4" width="3.453125" style="62" customWidth="1"/>
    <col min="5" max="5" width="11" style="60" customWidth="1"/>
    <col min="6" max="6" width="11.1796875" style="60" customWidth="1"/>
    <col min="7" max="7" width="11" style="60" customWidth="1"/>
    <col min="8" max="8" width="11.1796875" style="60" customWidth="1"/>
    <col min="9" max="11" width="10.7265625" style="60" customWidth="1"/>
    <col min="12" max="12" width="13.7265625" style="60" customWidth="1"/>
    <col min="13" max="14" width="12.7265625" style="60"/>
    <col min="15" max="15" width="18.54296875" style="60" bestFit="1" customWidth="1"/>
    <col min="16" max="17" width="12.7265625" style="60"/>
    <col min="18" max="18" width="14.81640625" style="60" customWidth="1"/>
    <col min="19" max="16384" width="12.7265625" style="60"/>
  </cols>
  <sheetData>
    <row r="2" spans="2:14" ht="10.5" x14ac:dyDescent="0.25">
      <c r="B2" s="61" t="s">
        <v>244</v>
      </c>
      <c r="C2" s="61"/>
      <c r="D2" s="61"/>
      <c r="E2" s="73"/>
      <c r="F2" s="73"/>
      <c r="G2" s="73"/>
      <c r="H2" s="73"/>
      <c r="I2" s="73"/>
      <c r="J2" s="73"/>
    </row>
    <row r="3" spans="2:14" ht="5.25" customHeight="1" x14ac:dyDescent="0.25"/>
    <row r="4" spans="2:14" ht="31.5" x14ac:dyDescent="0.25">
      <c r="B4" s="298" t="s">
        <v>65</v>
      </c>
      <c r="C4" s="296"/>
      <c r="D4" s="296"/>
      <c r="E4" s="244" t="s">
        <v>66</v>
      </c>
      <c r="F4" s="244" t="s">
        <v>67</v>
      </c>
      <c r="G4" s="244" t="s">
        <v>68</v>
      </c>
      <c r="H4" s="244" t="s">
        <v>69</v>
      </c>
      <c r="I4" s="244" t="s">
        <v>70</v>
      </c>
      <c r="J4" s="244" t="s">
        <v>71</v>
      </c>
      <c r="K4"/>
    </row>
    <row r="5" spans="2:14" ht="15" customHeight="1" x14ac:dyDescent="0.25">
      <c r="B5" s="76" t="s">
        <v>72</v>
      </c>
      <c r="C5" s="77"/>
      <c r="D5" s="77"/>
      <c r="E5" s="77"/>
      <c r="F5" s="77"/>
      <c r="G5" s="77"/>
      <c r="H5" s="77"/>
      <c r="I5" s="77"/>
      <c r="J5" s="78"/>
    </row>
    <row r="6" spans="2:14" ht="15" customHeight="1" x14ac:dyDescent="0.25">
      <c r="B6" s="455"/>
      <c r="C6" s="456"/>
      <c r="D6" s="457"/>
      <c r="E6" s="79"/>
      <c r="F6" s="80"/>
      <c r="G6" s="81"/>
      <c r="H6" s="82"/>
      <c r="I6" s="80"/>
      <c r="J6" s="81"/>
    </row>
    <row r="7" spans="2:14" ht="15" customHeight="1" x14ac:dyDescent="0.25">
      <c r="B7" s="290" t="s">
        <v>187</v>
      </c>
      <c r="C7" s="291"/>
      <c r="D7" s="291"/>
      <c r="E7" s="83">
        <v>520.45452799999998</v>
      </c>
      <c r="F7" s="84"/>
      <c r="G7" s="85"/>
      <c r="H7" s="82">
        <v>29878</v>
      </c>
      <c r="I7" s="64"/>
      <c r="J7" s="85"/>
    </row>
    <row r="8" spans="2:14" ht="15" customHeight="1" x14ac:dyDescent="0.25">
      <c r="B8" s="455"/>
      <c r="C8" s="456"/>
      <c r="D8" s="457"/>
      <c r="E8" s="83"/>
      <c r="F8" s="84"/>
      <c r="G8" s="85"/>
      <c r="H8" s="82"/>
      <c r="I8" s="80"/>
      <c r="J8" s="85"/>
    </row>
    <row r="9" spans="2:14" ht="15" customHeight="1" x14ac:dyDescent="0.25">
      <c r="B9" s="417" t="s">
        <v>136</v>
      </c>
      <c r="C9" s="418"/>
      <c r="D9" s="419"/>
      <c r="E9" s="83">
        <f>Summary!B12/1000000</f>
        <v>566.70177833999742</v>
      </c>
      <c r="F9" s="97"/>
      <c r="G9" s="85"/>
      <c r="H9" s="64">
        <f>Summary!B52</f>
        <v>29956</v>
      </c>
      <c r="I9" s="97"/>
      <c r="J9" s="85"/>
      <c r="M9"/>
      <c r="N9"/>
    </row>
    <row r="10" spans="2:14" ht="15" customHeight="1" x14ac:dyDescent="0.25">
      <c r="B10" s="417" t="s">
        <v>137</v>
      </c>
      <c r="C10" s="418"/>
      <c r="D10" s="419"/>
      <c r="E10" s="83">
        <f>Summary!C12/1000000</f>
        <v>564.90530429000296</v>
      </c>
      <c r="F10" s="97">
        <f t="shared" ref="F10:F20" si="0">E10-E9</f>
        <v>-1.7964740499944583</v>
      </c>
      <c r="G10" s="85">
        <f t="shared" ref="G10:G20" si="1">F10/E9</f>
        <v>-3.1700519014723275E-3</v>
      </c>
      <c r="H10" s="64">
        <f>Summary!C52</f>
        <v>30055</v>
      </c>
      <c r="I10" s="97">
        <f t="shared" ref="I10:I20" si="2">H10-H9</f>
        <v>99</v>
      </c>
      <c r="J10" s="85">
        <f t="shared" ref="J10:J20" si="3">I10/H9</f>
        <v>3.3048471090933369E-3</v>
      </c>
      <c r="M10"/>
      <c r="N10"/>
    </row>
    <row r="11" spans="2:14" ht="15" customHeight="1" x14ac:dyDescent="0.25">
      <c r="B11" s="417" t="s">
        <v>138</v>
      </c>
      <c r="C11" s="418"/>
      <c r="D11" s="419"/>
      <c r="E11" s="83">
        <f>Summary!D12/1000000</f>
        <v>548.3410920500005</v>
      </c>
      <c r="F11" s="97">
        <f t="shared" si="0"/>
        <v>-16.564212240002462</v>
      </c>
      <c r="G11" s="85">
        <f t="shared" si="1"/>
        <v>-2.9322104278735831E-2</v>
      </c>
      <c r="H11" s="64">
        <f>Summary!D52</f>
        <v>30013</v>
      </c>
      <c r="I11" s="97">
        <f t="shared" si="2"/>
        <v>-42</v>
      </c>
      <c r="J11" s="85">
        <f t="shared" si="3"/>
        <v>-1.3974380302778241E-3</v>
      </c>
      <c r="M11"/>
      <c r="N11"/>
    </row>
    <row r="12" spans="2:14" ht="15" customHeight="1" x14ac:dyDescent="0.25">
      <c r="B12" s="417" t="s">
        <v>139</v>
      </c>
      <c r="C12" s="418"/>
      <c r="D12" s="419"/>
      <c r="E12" s="83">
        <f>Summary!E12/1000000</f>
        <v>548.19676239000069</v>
      </c>
      <c r="F12" s="97">
        <f t="shared" si="0"/>
        <v>-0.14432965999981207</v>
      </c>
      <c r="G12" s="85">
        <f t="shared" si="1"/>
        <v>-2.6321146106382152E-4</v>
      </c>
      <c r="H12" s="64">
        <f>Summary!E52</f>
        <v>30030</v>
      </c>
      <c r="I12" s="97">
        <f t="shared" si="2"/>
        <v>17</v>
      </c>
      <c r="J12" s="85">
        <f t="shared" si="3"/>
        <v>5.6642121747242863E-4</v>
      </c>
      <c r="K12"/>
      <c r="L12"/>
      <c r="M12"/>
      <c r="N12"/>
    </row>
    <row r="13" spans="2:14" ht="15" customHeight="1" x14ac:dyDescent="0.25">
      <c r="B13" s="417" t="s">
        <v>188</v>
      </c>
      <c r="C13" s="418"/>
      <c r="D13" s="419"/>
      <c r="E13" s="83">
        <f>Summary!$F$12/1000000</f>
        <v>537.98304577000113</v>
      </c>
      <c r="F13" s="97">
        <f t="shared" si="0"/>
        <v>-10.213716619999559</v>
      </c>
      <c r="G13" s="85">
        <f t="shared" si="1"/>
        <v>-1.8631479280304959E-2</v>
      </c>
      <c r="H13" s="64">
        <f>Summary!$F$52</f>
        <v>29885</v>
      </c>
      <c r="I13" s="97">
        <f t="shared" si="2"/>
        <v>-145</v>
      </c>
      <c r="J13" s="85">
        <f t="shared" si="3"/>
        <v>-4.8285048285048289E-3</v>
      </c>
      <c r="K13"/>
      <c r="L13"/>
      <c r="M13"/>
      <c r="N13"/>
    </row>
    <row r="14" spans="2:14" ht="15" customHeight="1" x14ac:dyDescent="0.25">
      <c r="B14" s="417" t="s">
        <v>189</v>
      </c>
      <c r="C14" s="418"/>
      <c r="D14" s="419"/>
      <c r="E14" s="83">
        <f>Summary!$G$12/1000000</f>
        <v>516.72899929000039</v>
      </c>
      <c r="F14" s="97">
        <f>E14-E13</f>
        <v>-21.254046480000738</v>
      </c>
      <c r="G14" s="85">
        <f>F14/E13</f>
        <v>-3.9506907600741166E-2</v>
      </c>
      <c r="H14" s="64">
        <f>Summary!$G$52</f>
        <v>29857</v>
      </c>
      <c r="I14" s="97">
        <f>H14-H13</f>
        <v>-28</v>
      </c>
      <c r="J14" s="85">
        <f>I14/H13</f>
        <v>-9.3692487870168986E-4</v>
      </c>
      <c r="K14"/>
      <c r="L14"/>
      <c r="M14"/>
      <c r="N14"/>
    </row>
    <row r="15" spans="2:14" ht="15" customHeight="1" x14ac:dyDescent="0.25">
      <c r="B15" s="417" t="s">
        <v>190</v>
      </c>
      <c r="C15" s="418"/>
      <c r="D15" s="419"/>
      <c r="E15" s="83">
        <f>Summary!$H$12/1000000</f>
        <v>488.76549717000063</v>
      </c>
      <c r="F15" s="97">
        <f t="shared" si="0"/>
        <v>-27.96350211999976</v>
      </c>
      <c r="G15" s="85">
        <f t="shared" si="1"/>
        <v>-5.4116378524182635E-2</v>
      </c>
      <c r="H15" s="64">
        <f>Summary!$H$52</f>
        <v>29964</v>
      </c>
      <c r="I15" s="97">
        <f t="shared" si="2"/>
        <v>107</v>
      </c>
      <c r="J15" s="85">
        <f t="shared" si="3"/>
        <v>3.5837492045416486E-3</v>
      </c>
      <c r="K15"/>
      <c r="L15"/>
      <c r="M15"/>
      <c r="N15"/>
    </row>
    <row r="16" spans="2:14" ht="15" customHeight="1" x14ac:dyDescent="0.25">
      <c r="B16" s="417" t="s">
        <v>191</v>
      </c>
      <c r="C16" s="418"/>
      <c r="D16" s="419"/>
      <c r="E16" s="83">
        <f>Summary!$I$12/1000000</f>
        <v>482.39854616000036</v>
      </c>
      <c r="F16" s="97">
        <f t="shared" si="0"/>
        <v>-6.366951010000264</v>
      </c>
      <c r="G16" s="85">
        <f t="shared" si="1"/>
        <v>-1.302659669486804E-2</v>
      </c>
      <c r="H16" s="64">
        <f>Summary!$I$52</f>
        <v>29977</v>
      </c>
      <c r="I16" s="97">
        <f t="shared" si="2"/>
        <v>13</v>
      </c>
      <c r="J16" s="85">
        <f t="shared" si="3"/>
        <v>4.3385395808303299E-4</v>
      </c>
      <c r="K16"/>
      <c r="L16"/>
      <c r="M16"/>
      <c r="N16"/>
    </row>
    <row r="17" spans="2:31" ht="15" customHeight="1" x14ac:dyDescent="0.25">
      <c r="B17" s="417" t="s">
        <v>192</v>
      </c>
      <c r="C17" s="418"/>
      <c r="D17" s="419"/>
      <c r="E17" s="83">
        <f>Summary!$J$12/1000000</f>
        <v>496.9809711099997</v>
      </c>
      <c r="F17" s="97">
        <f t="shared" si="0"/>
        <v>14.582424949999336</v>
      </c>
      <c r="G17" s="85">
        <f t="shared" si="1"/>
        <v>3.0228998545038493E-2</v>
      </c>
      <c r="H17" s="64">
        <f>Summary!$J$52</f>
        <v>30001</v>
      </c>
      <c r="I17" s="97">
        <f t="shared" si="2"/>
        <v>24</v>
      </c>
      <c r="J17" s="85">
        <f t="shared" si="3"/>
        <v>8.0061380391633589E-4</v>
      </c>
      <c r="K17"/>
      <c r="L17"/>
      <c r="M17"/>
      <c r="N17"/>
    </row>
    <row r="18" spans="2:31" ht="15" customHeight="1" x14ac:dyDescent="0.25">
      <c r="B18" s="417" t="s">
        <v>193</v>
      </c>
      <c r="C18" s="418"/>
      <c r="D18" s="419"/>
      <c r="E18" s="83">
        <f>Summary!$K$12/1000000</f>
        <v>495.76181037999993</v>
      </c>
      <c r="F18" s="97">
        <f t="shared" si="0"/>
        <v>-1.2191607299997713</v>
      </c>
      <c r="G18" s="85">
        <f t="shared" si="1"/>
        <v>-2.4531336225545896E-3</v>
      </c>
      <c r="H18" s="64">
        <f>Summary!$K$52</f>
        <v>30047</v>
      </c>
      <c r="I18" s="97">
        <f t="shared" si="2"/>
        <v>46</v>
      </c>
      <c r="J18" s="85">
        <f t="shared" si="3"/>
        <v>1.5332822239258691E-3</v>
      </c>
      <c r="K18"/>
      <c r="L18"/>
      <c r="M18"/>
      <c r="N18"/>
    </row>
    <row r="19" spans="2:31" ht="15" customHeight="1" x14ac:dyDescent="0.25">
      <c r="B19" s="417" t="s">
        <v>194</v>
      </c>
      <c r="C19" s="418"/>
      <c r="D19" s="419"/>
      <c r="E19" s="83">
        <f>Summary!L16/1000000</f>
        <v>491.91565933527141</v>
      </c>
      <c r="F19" s="97">
        <f t="shared" si="0"/>
        <v>-3.846151044728515</v>
      </c>
      <c r="G19" s="85">
        <f>F19/E12</f>
        <v>-7.0160046694917695E-3</v>
      </c>
      <c r="H19" s="64">
        <f>Summary!L52</f>
        <v>30075</v>
      </c>
      <c r="I19" s="97">
        <f t="shared" si="2"/>
        <v>28</v>
      </c>
      <c r="J19" s="85">
        <f t="shared" si="3"/>
        <v>9.3187339834259659E-4</v>
      </c>
      <c r="M19"/>
      <c r="N19"/>
    </row>
    <row r="20" spans="2:31" ht="12.5" x14ac:dyDescent="0.25">
      <c r="B20" s="417" t="s">
        <v>195</v>
      </c>
      <c r="C20" s="418"/>
      <c r="D20" s="419"/>
      <c r="E20" s="83">
        <f>Summary!M16/1000000</f>
        <v>491.08683987026399</v>
      </c>
      <c r="F20" s="97">
        <f t="shared" si="0"/>
        <v>-0.82881946500742743</v>
      </c>
      <c r="G20" s="85">
        <f t="shared" si="1"/>
        <v>-1.6848812378272653E-3</v>
      </c>
      <c r="H20" s="64">
        <f>Summary!M52</f>
        <v>30104</v>
      </c>
      <c r="I20" s="97">
        <f t="shared" si="2"/>
        <v>29</v>
      </c>
      <c r="J20" s="85">
        <f t="shared" si="3"/>
        <v>9.6425602660016622E-4</v>
      </c>
      <c r="M20"/>
      <c r="N20"/>
    </row>
    <row r="21" spans="2:31" ht="15" customHeight="1" x14ac:dyDescent="0.25">
      <c r="B21" s="86"/>
      <c r="C21" s="86"/>
      <c r="D21" s="86"/>
      <c r="E21" s="87"/>
      <c r="F21" s="87"/>
      <c r="G21" s="87"/>
      <c r="H21" s="87"/>
      <c r="I21" s="87"/>
      <c r="J21" s="87"/>
      <c r="M21"/>
      <c r="N21"/>
    </row>
    <row r="22" spans="2:31" ht="15" customHeight="1" x14ac:dyDescent="0.25">
      <c r="B22" s="61" t="s">
        <v>245</v>
      </c>
      <c r="C22" s="61"/>
      <c r="D22" s="61"/>
      <c r="E22" s="73"/>
      <c r="F22" s="73"/>
      <c r="G22" s="73"/>
      <c r="H22" s="73"/>
      <c r="I22" s="73"/>
      <c r="J22" s="73"/>
      <c r="K22" s="73"/>
      <c r="M22"/>
      <c r="N22"/>
    </row>
    <row r="23" spans="2:31" ht="31.5" x14ac:dyDescent="0.25">
      <c r="B23" s="298" t="s">
        <v>65</v>
      </c>
      <c r="C23" s="296"/>
      <c r="D23" s="296"/>
      <c r="E23" s="245" t="str">
        <f>Summary!A19</f>
        <v xml:space="preserve">Residential </v>
      </c>
      <c r="F23" s="245" t="str">
        <f>Summary!A23</f>
        <v>General Service &lt; 50 kW</v>
      </c>
      <c r="G23" s="245" t="str">
        <f>Summary!A27</f>
        <v>General Service 50 to 2999 kW</v>
      </c>
      <c r="H23" s="245" t="str">
        <f>Summary!A32</f>
        <v>General Service 3000 to 4999 kW</v>
      </c>
      <c r="I23" s="245" t="str">
        <f>Summary!A37</f>
        <v>Street Lighting</v>
      </c>
      <c r="J23" s="245" t="str">
        <f>Summary!A42</f>
        <v>Sentinel Lighting</v>
      </c>
      <c r="K23" s="245" t="str">
        <f>Summary!A47</f>
        <v xml:space="preserve">Unmetered Scattered Load </v>
      </c>
      <c r="L23" s="245" t="s">
        <v>10</v>
      </c>
      <c r="M23"/>
      <c r="N23"/>
    </row>
    <row r="24" spans="2:31" ht="15" customHeight="1" x14ac:dyDescent="0.25">
      <c r="B24" s="99" t="s">
        <v>73</v>
      </c>
      <c r="C24" s="100"/>
      <c r="D24" s="100"/>
      <c r="E24" s="100"/>
      <c r="F24" s="100"/>
      <c r="G24" s="100"/>
      <c r="H24" s="100"/>
      <c r="I24" s="100"/>
      <c r="J24" s="100"/>
      <c r="K24" s="100"/>
      <c r="L24" s="101"/>
    </row>
    <row r="25" spans="2:31" ht="15" customHeight="1" x14ac:dyDescent="0.25">
      <c r="B25" s="455"/>
      <c r="C25" s="456"/>
      <c r="D25" s="457"/>
      <c r="E25" s="79"/>
      <c r="F25" s="88"/>
      <c r="G25" s="88"/>
      <c r="H25" s="88"/>
      <c r="I25" s="88"/>
      <c r="J25" s="88"/>
      <c r="K25" s="88"/>
      <c r="L25" s="88"/>
    </row>
    <row r="26" spans="2:31" ht="15" customHeight="1" x14ac:dyDescent="0.25">
      <c r="B26" s="290" t="str">
        <f>B7</f>
        <v>2015 Board Approved</v>
      </c>
      <c r="C26" s="291"/>
      <c r="D26" s="291"/>
      <c r="E26" s="79">
        <v>205.49742499999999</v>
      </c>
      <c r="F26" s="79">
        <v>85.361036999999996</v>
      </c>
      <c r="G26" s="79">
        <v>209.884489</v>
      </c>
      <c r="H26" s="79">
        <v>17.254809999999999</v>
      </c>
      <c r="I26" s="79">
        <v>2.0187620000000002</v>
      </c>
      <c r="J26" s="89">
        <v>0.40595928999999997</v>
      </c>
      <c r="K26" s="89">
        <v>3.2044999999999997E-2</v>
      </c>
      <c r="L26" s="89">
        <f>SUM(E26:K26)</f>
        <v>520.4545272900001</v>
      </c>
      <c r="N26" s="98"/>
      <c r="O26" s="98"/>
    </row>
    <row r="27" spans="2:31" ht="15" customHeight="1" x14ac:dyDescent="0.25">
      <c r="B27" s="455"/>
      <c r="C27" s="456"/>
      <c r="D27" s="457"/>
      <c r="E27" s="79"/>
      <c r="F27" s="79"/>
      <c r="G27" s="79"/>
      <c r="H27" s="79"/>
      <c r="I27" s="79"/>
      <c r="J27" s="89"/>
      <c r="K27" s="89"/>
      <c r="L27" s="89"/>
      <c r="O27" s="98"/>
    </row>
    <row r="28" spans="2:31" ht="15" customHeight="1" x14ac:dyDescent="0.25">
      <c r="B28" s="290" t="str">
        <f t="shared" ref="B28:B37" si="4">B9</f>
        <v xml:space="preserve">2010 Actual </v>
      </c>
      <c r="C28" s="291"/>
      <c r="D28" s="291"/>
      <c r="E28" s="79">
        <f>'Rate Class Energy Model'!H11/1000000</f>
        <v>206.53511774999697</v>
      </c>
      <c r="F28" s="79">
        <f>'Rate Class Energy Model'!I11/1000000</f>
        <v>85.042099070000475</v>
      </c>
      <c r="G28" s="79">
        <f>'Rate Class Energy Model'!J11/1000000</f>
        <v>230.03773662999998</v>
      </c>
      <c r="H28" s="79">
        <f>'Rate Class Energy Model'!K11/1000000</f>
        <v>41.028103810000005</v>
      </c>
      <c r="I28" s="79">
        <f>'Rate Class Energy Model'!L11/1000000</f>
        <v>3.3241901299999999</v>
      </c>
      <c r="J28" s="79">
        <f>'Rate Class Energy Model'!M11/1000000</f>
        <v>0.56940756999999997</v>
      </c>
      <c r="K28" s="79">
        <f>'Rate Class Energy Model'!N11/1000000</f>
        <v>0.16512338000000001</v>
      </c>
      <c r="L28" s="89">
        <f t="shared" ref="L28:L39" si="5">SUM(E28:K28)</f>
        <v>566.70177833999742</v>
      </c>
      <c r="M28" s="74"/>
      <c r="N28" s="98"/>
      <c r="O28" s="98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</row>
    <row r="29" spans="2:31" ht="15" customHeight="1" x14ac:dyDescent="0.25">
      <c r="B29" s="290" t="str">
        <f t="shared" si="4"/>
        <v xml:space="preserve">2011 Actual </v>
      </c>
      <c r="C29" s="291"/>
      <c r="D29" s="291"/>
      <c r="E29" s="79">
        <f>'Rate Class Energy Model'!H12/1000000</f>
        <v>207.35808223000043</v>
      </c>
      <c r="F29" s="79">
        <f>'Rate Class Energy Model'!I12/1000000</f>
        <v>85.023143980002558</v>
      </c>
      <c r="G29" s="79">
        <f>'Rate Class Energy Model'!J12/1000000</f>
        <v>231.66736605000008</v>
      </c>
      <c r="H29" s="79">
        <f>'Rate Class Energy Model'!K12/1000000</f>
        <v>37.086851809999999</v>
      </c>
      <c r="I29" s="79">
        <f>'Rate Class Energy Model'!L12/1000000</f>
        <v>3.2041226699999998</v>
      </c>
      <c r="J29" s="79">
        <f>'Rate Class Energy Model'!M12/1000000</f>
        <v>0.48166412000000003</v>
      </c>
      <c r="K29" s="79">
        <f>'Rate Class Energy Model'!N12/1000000</f>
        <v>8.4073429999999991E-2</v>
      </c>
      <c r="L29" s="89">
        <f t="shared" si="5"/>
        <v>564.90530429000296</v>
      </c>
      <c r="M29" s="74"/>
      <c r="N29" s="98"/>
      <c r="O29" s="98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</row>
    <row r="30" spans="2:31" ht="12.5" x14ac:dyDescent="0.25">
      <c r="B30" s="290" t="str">
        <f t="shared" si="4"/>
        <v xml:space="preserve">2012 Actual </v>
      </c>
      <c r="C30" s="291"/>
      <c r="D30" s="291"/>
      <c r="E30" s="79">
        <f>'Rate Class Energy Model'!H13/1000000</f>
        <v>200.61442425000052</v>
      </c>
      <c r="F30" s="79">
        <f>'Rate Class Energy Model'!I13/1000000</f>
        <v>84.948670559999996</v>
      </c>
      <c r="G30" s="79">
        <f>'Rate Class Energy Model'!J13/1000000</f>
        <v>223.68845295</v>
      </c>
      <c r="H30" s="79">
        <f>'Rate Class Energy Model'!K13/1000000</f>
        <v>35.722771819999998</v>
      </c>
      <c r="I30" s="79">
        <f>'Rate Class Energy Model'!L13/1000000</f>
        <v>2.7902384900000001</v>
      </c>
      <c r="J30" s="79">
        <f>'Rate Class Energy Model'!M13/1000000</f>
        <v>0.48775949000000002</v>
      </c>
      <c r="K30" s="79">
        <f>'Rate Class Energy Model'!N13/1000000</f>
        <v>8.877448999999997E-2</v>
      </c>
      <c r="L30" s="89">
        <f t="shared" si="5"/>
        <v>548.3410920500005</v>
      </c>
      <c r="M30" s="74"/>
      <c r="N30" s="98"/>
      <c r="O30" s="98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</row>
    <row r="31" spans="2:31" ht="12.5" x14ac:dyDescent="0.25">
      <c r="B31" s="290" t="str">
        <f t="shared" si="4"/>
        <v xml:space="preserve">2013 Actual </v>
      </c>
      <c r="C31" s="291"/>
      <c r="D31" s="291"/>
      <c r="E31" s="79">
        <f>'Rate Class Energy Model'!H14/1000000</f>
        <v>207.80663926000017</v>
      </c>
      <c r="F31" s="79">
        <f>'Rate Class Energy Model'!I14/1000000</f>
        <v>85.11933071000054</v>
      </c>
      <c r="G31" s="79">
        <f>'Rate Class Energy Model'!J14/1000000</f>
        <v>216.61445360999994</v>
      </c>
      <c r="H31" s="79">
        <f>'Rate Class Energy Model'!K14/1000000</f>
        <v>35.775035789999997</v>
      </c>
      <c r="I31" s="79">
        <f>'Rate Class Energy Model'!L14/1000000</f>
        <v>2.34826823</v>
      </c>
      <c r="J31" s="79">
        <f>'Rate Class Energy Model'!M14/1000000</f>
        <v>0.44395062000000068</v>
      </c>
      <c r="K31" s="79">
        <f>'Rate Class Energy Model'!N14/1000000</f>
        <v>8.908416999999999E-2</v>
      </c>
      <c r="L31" s="89">
        <f t="shared" si="5"/>
        <v>548.19676239000069</v>
      </c>
      <c r="M31" s="74"/>
      <c r="N31" s="98"/>
      <c r="O31" s="98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</row>
    <row r="32" spans="2:31" ht="12.5" x14ac:dyDescent="0.25">
      <c r="B32" s="290" t="str">
        <f t="shared" si="4"/>
        <v xml:space="preserve">2014 Actual </v>
      </c>
      <c r="C32" s="291"/>
      <c r="D32" s="291"/>
      <c r="E32" s="79">
        <f>'Rate Class Energy Model'!H15/1000000</f>
        <v>205.95007975000036</v>
      </c>
      <c r="F32" s="79">
        <f>'Rate Class Energy Model'!I15/1000000</f>
        <v>85.369054680000914</v>
      </c>
      <c r="G32" s="79">
        <f>'Rate Class Energy Model'!J15/1000000</f>
        <v>217.23618744000001</v>
      </c>
      <c r="H32" s="79">
        <f>'Rate Class Energy Model'!K15/1000000</f>
        <v>26.926555820000004</v>
      </c>
      <c r="I32" s="79">
        <f>'Rate Class Energy Model'!L15/1000000</f>
        <v>2.0265658900000001</v>
      </c>
      <c r="J32" s="79">
        <f>'Rate Class Energy Model'!M15/1000000</f>
        <v>0.42399264000000048</v>
      </c>
      <c r="K32" s="79">
        <f>'Rate Class Energy Model'!N15/1000000</f>
        <v>5.0609549999999989E-2</v>
      </c>
      <c r="L32" s="89">
        <f t="shared" si="5"/>
        <v>537.98304577000135</v>
      </c>
      <c r="M32" s="74"/>
      <c r="N32" s="98"/>
      <c r="O32" s="98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</row>
    <row r="33" spans="1:31" ht="12.5" x14ac:dyDescent="0.25">
      <c r="B33" s="290" t="str">
        <f t="shared" si="4"/>
        <v xml:space="preserve">2015 Actual </v>
      </c>
      <c r="C33" s="291"/>
      <c r="D33" s="291"/>
      <c r="E33" s="79">
        <f>'Rate Class Energy Model'!H16/1000000</f>
        <v>196.73010079999995</v>
      </c>
      <c r="F33" s="79">
        <f>'Rate Class Energy Model'!I16/1000000</f>
        <v>83.568205870000469</v>
      </c>
      <c r="G33" s="79">
        <f>'Rate Class Energy Model'!J16/1000000</f>
        <v>216.23887438999998</v>
      </c>
      <c r="H33" s="79">
        <f>'Rate Class Energy Model'!K16/1000000</f>
        <v>17.738635890000001</v>
      </c>
      <c r="I33" s="79">
        <f>'Rate Class Energy Model'!L16/1000000</f>
        <v>2.03636872</v>
      </c>
      <c r="J33" s="79">
        <f>'Rate Class Energy Model'!M16/1000000</f>
        <v>0.37388003000000047</v>
      </c>
      <c r="K33" s="79">
        <f>'Rate Class Energy Model'!N16/1000000</f>
        <v>4.2933589999999994E-2</v>
      </c>
      <c r="L33" s="89">
        <f t="shared" si="5"/>
        <v>516.72899929000039</v>
      </c>
      <c r="M33" s="74"/>
      <c r="N33" s="98"/>
      <c r="O33" s="98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</row>
    <row r="34" spans="1:31" ht="12.5" x14ac:dyDescent="0.25">
      <c r="B34" s="290" t="str">
        <f t="shared" si="4"/>
        <v xml:space="preserve">2016 Actual </v>
      </c>
      <c r="C34" s="291"/>
      <c r="D34" s="291"/>
      <c r="E34" s="79">
        <f>'Rate Class Energy Model'!H17/1000000</f>
        <v>188.19472151000042</v>
      </c>
      <c r="F34" s="79">
        <f>'Rate Class Energy Model'!I17/1000000</f>
        <v>80.643102520000198</v>
      </c>
      <c r="G34" s="79">
        <f>'Rate Class Energy Model'!J17/1000000</f>
        <v>200.88047503000004</v>
      </c>
      <c r="H34" s="79">
        <f>'Rate Class Energy Model'!K17/1000000</f>
        <v>16.805471899999997</v>
      </c>
      <c r="I34" s="79">
        <f>'Rate Class Energy Model'!L17/1000000</f>
        <v>2.0425015800000001</v>
      </c>
      <c r="J34" s="79">
        <f>'Rate Class Energy Model'!M17/1000000</f>
        <v>0.15629107</v>
      </c>
      <c r="K34" s="79">
        <f>'Rate Class Energy Model'!N17/1000000</f>
        <v>4.2933559999999989E-2</v>
      </c>
      <c r="L34" s="89">
        <f t="shared" si="5"/>
        <v>488.76549717000063</v>
      </c>
      <c r="M34" s="74"/>
      <c r="N34" s="98"/>
      <c r="O34" s="98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</row>
    <row r="35" spans="1:31" ht="12.5" x14ac:dyDescent="0.25">
      <c r="B35" s="290" t="str">
        <f t="shared" si="4"/>
        <v xml:space="preserve">2017 Actual </v>
      </c>
      <c r="C35" s="291"/>
      <c r="D35" s="291"/>
      <c r="E35" s="79">
        <f>'Rate Class Energy Model'!H18/1000000</f>
        <v>184.54662313000023</v>
      </c>
      <c r="F35" s="79">
        <f>'Rate Class Energy Model'!I18/1000000</f>
        <v>78.774627370000104</v>
      </c>
      <c r="G35" s="79">
        <f>'Rate Class Energy Model'!J18/1000000</f>
        <v>200.34616548</v>
      </c>
      <c r="H35" s="79">
        <f>'Rate Class Energy Model'!K18/1000000</f>
        <v>16.52275191</v>
      </c>
      <c r="I35" s="79">
        <f>'Rate Class Energy Model'!L18/1000000</f>
        <v>2.03636872</v>
      </c>
      <c r="J35" s="79">
        <f>'Rate Class Energy Model'!M18/1000000</f>
        <v>0.12907595999999988</v>
      </c>
      <c r="K35" s="79">
        <f>'Rate Class Energy Model'!N18/1000000</f>
        <v>4.2933589999999987E-2</v>
      </c>
      <c r="L35" s="89">
        <f t="shared" si="5"/>
        <v>482.39854616000036</v>
      </c>
      <c r="M35" s="74"/>
      <c r="N35" s="98"/>
      <c r="O35" s="98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</row>
    <row r="36" spans="1:31" ht="12.5" x14ac:dyDescent="0.25">
      <c r="B36" s="290" t="str">
        <f t="shared" si="4"/>
        <v xml:space="preserve">2018 Actual </v>
      </c>
      <c r="C36" s="291"/>
      <c r="D36" s="291"/>
      <c r="E36" s="79">
        <f>'Rate Class Energy Model'!H19/1000000</f>
        <v>196.78412994999957</v>
      </c>
      <c r="F36" s="79">
        <f>'Rate Class Energy Model'!I19/1000000</f>
        <v>81.814082000000042</v>
      </c>
      <c r="G36" s="79">
        <f>'Rate Class Energy Model'!J19/1000000</f>
        <v>199.99866812000008</v>
      </c>
      <c r="H36" s="79">
        <f>'Rate Class Energy Model'!K19/1000000</f>
        <v>16.18571991</v>
      </c>
      <c r="I36" s="79">
        <f>'Rate Class Energy Model'!L19/1000000</f>
        <v>2.0315951800000001</v>
      </c>
      <c r="J36" s="79">
        <f>'Rate Class Energy Model'!M19/1000000</f>
        <v>0.1247033299999999</v>
      </c>
      <c r="K36" s="79">
        <f>'Rate Class Energy Model'!N19/1000000</f>
        <v>4.2072619999999991E-2</v>
      </c>
      <c r="L36" s="89">
        <f t="shared" si="5"/>
        <v>496.98097110999964</v>
      </c>
      <c r="M36" s="74"/>
      <c r="N36" s="98"/>
      <c r="O36" s="98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</row>
    <row r="37" spans="1:31" ht="12.5" x14ac:dyDescent="0.25">
      <c r="B37" s="290" t="str">
        <f t="shared" si="4"/>
        <v xml:space="preserve">2019 Actual </v>
      </c>
      <c r="C37" s="291"/>
      <c r="D37" s="291"/>
      <c r="E37" s="79">
        <f>'Rate Class Energy Model'!H20/1000000</f>
        <v>197.84701774999991</v>
      </c>
      <c r="F37" s="79">
        <f>'Rate Class Energy Model'!I20/1000000</f>
        <v>80.410230089999999</v>
      </c>
      <c r="G37" s="79">
        <f>'Rate Class Energy Model'!J20/1000000</f>
        <v>199.95332373000002</v>
      </c>
      <c r="H37" s="79">
        <f>'Rate Class Energy Model'!K20/1000000</f>
        <v>15.352959899999998</v>
      </c>
      <c r="I37" s="79">
        <f>'Rate Class Energy Model'!L20/1000000</f>
        <v>2.03636872</v>
      </c>
      <c r="J37" s="79">
        <f>'Rate Class Energy Model'!M20/1000000</f>
        <v>0.12242049000000001</v>
      </c>
      <c r="K37" s="79">
        <f>'Rate Class Energy Model'!N20/1000000</f>
        <v>3.9489699999999996E-2</v>
      </c>
      <c r="L37" s="89">
        <f t="shared" si="5"/>
        <v>495.76181037999987</v>
      </c>
      <c r="M37" s="74"/>
      <c r="N37" s="98"/>
      <c r="O37" s="98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</row>
    <row r="38" spans="1:31" ht="12.5" x14ac:dyDescent="0.25">
      <c r="B38" s="417" t="s">
        <v>194</v>
      </c>
      <c r="C38" s="418"/>
      <c r="D38" s="419"/>
      <c r="E38" s="79">
        <f>+'Rate Class Energy Model'!H71/1000000</f>
        <v>199.68221691900476</v>
      </c>
      <c r="F38" s="79">
        <f>+'Rate Class Energy Model'!I71/1000000</f>
        <v>79.636963846008896</v>
      </c>
      <c r="G38" s="79">
        <f>+'Rate Class Energy Model'!J71/1000000</f>
        <v>195.50359831916356</v>
      </c>
      <c r="H38" s="79">
        <f>+'Rate Class Energy Model'!K71/1000000</f>
        <v>14.897243509943134</v>
      </c>
      <c r="I38" s="79">
        <f>+'Rate Class Energy Model'!L71/1000000</f>
        <v>2.03636872</v>
      </c>
      <c r="J38" s="79">
        <f>+'Rate Class Energy Model'!M71/1000000</f>
        <v>0.11977832115107913</v>
      </c>
      <c r="K38" s="79">
        <f>+'Rate Class Energy Model'!N71/1000000</f>
        <v>3.9489699999999996E-2</v>
      </c>
      <c r="L38" s="89">
        <f t="shared" si="5"/>
        <v>491.91565933527141</v>
      </c>
      <c r="M38" s="74"/>
      <c r="N38" s="98">
        <f>H38*1000000</f>
        <v>14897243.509943135</v>
      </c>
      <c r="O38" s="98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</row>
    <row r="39" spans="1:31" ht="12.5" x14ac:dyDescent="0.25">
      <c r="B39" s="417" t="s">
        <v>195</v>
      </c>
      <c r="C39" s="418"/>
      <c r="D39" s="419"/>
      <c r="E39" s="79">
        <f>+'Rate Class Energy Model'!H72/1000000</f>
        <v>201.7051110590377</v>
      </c>
      <c r="F39" s="79">
        <f>+'Rate Class Energy Model'!I72/1000000</f>
        <v>79.035853179389008</v>
      </c>
      <c r="G39" s="79">
        <f>+'Rate Class Energy Model'!J72/1000000</f>
        <v>193.69753349953444</v>
      </c>
      <c r="H39" s="79">
        <f>+'Rate Class Energy Model'!K72/1000000</f>
        <v>14.455053985684081</v>
      </c>
      <c r="I39" s="79">
        <f>+'Rate Class Energy Model'!L72/1000000</f>
        <v>2.03636872</v>
      </c>
      <c r="J39" s="79">
        <f>+'Rate Class Energy Model'!M72/1000000</f>
        <v>0.11742972661870504</v>
      </c>
      <c r="K39" s="79">
        <f>+'Rate Class Energy Model'!N72/1000000</f>
        <v>3.9489699999999996E-2</v>
      </c>
      <c r="L39" s="89">
        <f t="shared" si="5"/>
        <v>491.08683987026387</v>
      </c>
      <c r="M39" s="74"/>
      <c r="N39" s="98">
        <f>N38/H55</f>
        <v>14897243.509943135</v>
      </c>
      <c r="O39" s="98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</row>
    <row r="40" spans="1:31" ht="15" customHeight="1" x14ac:dyDescent="0.25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</row>
    <row r="41" spans="1:31" ht="15" customHeight="1" x14ac:dyDescent="0.25">
      <c r="B41" s="99" t="s">
        <v>74</v>
      </c>
      <c r="C41" s="100"/>
      <c r="D41" s="100"/>
      <c r="E41" s="100"/>
      <c r="F41" s="100"/>
      <c r="G41" s="100"/>
      <c r="H41" s="100"/>
      <c r="I41" s="100"/>
      <c r="J41" s="100"/>
      <c r="K41" s="100"/>
      <c r="L41" s="101"/>
    </row>
    <row r="42" spans="1:31" ht="15" customHeight="1" x14ac:dyDescent="0.25">
      <c r="B42" s="290"/>
      <c r="C42" s="291"/>
      <c r="D42" s="291"/>
      <c r="E42" s="90"/>
      <c r="F42" s="82"/>
      <c r="G42" s="82"/>
      <c r="H42" s="82"/>
      <c r="I42" s="82"/>
      <c r="J42" s="82"/>
      <c r="K42" s="82"/>
      <c r="L42" s="82"/>
    </row>
    <row r="43" spans="1:31" ht="15" customHeight="1" x14ac:dyDescent="0.25">
      <c r="B43" s="290" t="str">
        <f>B26</f>
        <v>2015 Board Approved</v>
      </c>
      <c r="C43" s="291"/>
      <c r="D43" s="291"/>
      <c r="E43" s="90">
        <v>21124</v>
      </c>
      <c r="F43" s="82">
        <v>2668</v>
      </c>
      <c r="G43" s="82">
        <v>247</v>
      </c>
      <c r="H43" s="82">
        <v>1</v>
      </c>
      <c r="I43" s="82">
        <v>5419</v>
      </c>
      <c r="J43" s="82">
        <v>412</v>
      </c>
      <c r="K43" s="82">
        <v>7</v>
      </c>
      <c r="L43" s="82">
        <f>SUM(E43:K43)</f>
        <v>29878</v>
      </c>
      <c r="N43" s="65"/>
      <c r="O43" s="98"/>
    </row>
    <row r="44" spans="1:31" ht="15" customHeight="1" x14ac:dyDescent="0.25">
      <c r="A44" s="66"/>
      <c r="B44" s="290"/>
      <c r="C44" s="291"/>
      <c r="D44" s="291"/>
      <c r="E44" s="90"/>
      <c r="F44" s="82"/>
      <c r="G44" s="82"/>
      <c r="H44" s="82"/>
      <c r="I44" s="82"/>
      <c r="J44" s="82"/>
      <c r="K44" s="82"/>
      <c r="L44" s="82"/>
      <c r="N44" s="65"/>
      <c r="O44" s="98"/>
    </row>
    <row r="45" spans="1:31" ht="15" customHeight="1" x14ac:dyDescent="0.25">
      <c r="A45" s="59"/>
      <c r="B45" s="290" t="str">
        <f t="shared" ref="B45:B56" si="6">B28</f>
        <v xml:space="preserve">2010 Actual </v>
      </c>
      <c r="C45" s="291"/>
      <c r="D45" s="291"/>
      <c r="E45" s="90">
        <f>'Rate Class Customer Model'!B14</f>
        <v>20952</v>
      </c>
      <c r="F45" s="90">
        <f>'Rate Class Customer Model'!C14</f>
        <v>2633</v>
      </c>
      <c r="G45" s="90">
        <f>'Rate Class Customer Model'!D14</f>
        <v>269</v>
      </c>
      <c r="H45" s="90">
        <f>'Rate Class Customer Model'!E14</f>
        <v>2</v>
      </c>
      <c r="I45" s="90">
        <f>'Rate Class Customer Model'!F14</f>
        <v>5572</v>
      </c>
      <c r="J45" s="90">
        <f>'Rate Class Customer Model'!G14</f>
        <v>509</v>
      </c>
      <c r="K45" s="90">
        <f>'Rate Class Customer Model'!H14</f>
        <v>19</v>
      </c>
      <c r="L45" s="82">
        <f t="shared" ref="L45:L56" si="7">SUM(E45:K45)</f>
        <v>29956</v>
      </c>
      <c r="M45" s="65"/>
      <c r="N45" s="65"/>
      <c r="O45" s="98"/>
    </row>
    <row r="46" spans="1:31" ht="15" customHeight="1" x14ac:dyDescent="0.25">
      <c r="A46" s="59"/>
      <c r="B46" s="290" t="str">
        <f t="shared" si="6"/>
        <v xml:space="preserve">2011 Actual </v>
      </c>
      <c r="C46" s="291"/>
      <c r="D46" s="291"/>
      <c r="E46" s="90">
        <f>'Rate Class Customer Model'!B15</f>
        <v>21096</v>
      </c>
      <c r="F46" s="90">
        <f>'Rate Class Customer Model'!C15</f>
        <v>2623</v>
      </c>
      <c r="G46" s="90">
        <f>'Rate Class Customer Model'!D15</f>
        <v>268</v>
      </c>
      <c r="H46" s="90">
        <f>'Rate Class Customer Model'!E15</f>
        <v>2</v>
      </c>
      <c r="I46" s="90">
        <f>'Rate Class Customer Model'!F15</f>
        <v>5574</v>
      </c>
      <c r="J46" s="90">
        <f>'Rate Class Customer Model'!G15</f>
        <v>474</v>
      </c>
      <c r="K46" s="90">
        <f>'Rate Class Customer Model'!H15</f>
        <v>18</v>
      </c>
      <c r="L46" s="82">
        <f t="shared" si="7"/>
        <v>30055</v>
      </c>
      <c r="M46" s="65"/>
      <c r="N46" s="65"/>
      <c r="O46" s="98"/>
    </row>
    <row r="47" spans="1:31" ht="15" customHeight="1" x14ac:dyDescent="0.25">
      <c r="A47" s="59"/>
      <c r="B47" s="290" t="str">
        <f t="shared" si="6"/>
        <v xml:space="preserve">2012 Actual </v>
      </c>
      <c r="C47" s="291"/>
      <c r="D47" s="291"/>
      <c r="E47" s="90">
        <f>'Rate Class Customer Model'!B16</f>
        <v>21074</v>
      </c>
      <c r="F47" s="90">
        <f>'Rate Class Customer Model'!C16</f>
        <v>2645</v>
      </c>
      <c r="G47" s="90">
        <f>'Rate Class Customer Model'!D16</f>
        <v>254</v>
      </c>
      <c r="H47" s="90">
        <f>'Rate Class Customer Model'!E16</f>
        <v>2</v>
      </c>
      <c r="I47" s="90">
        <f>'Rate Class Customer Model'!F16</f>
        <v>5574</v>
      </c>
      <c r="J47" s="90">
        <f>'Rate Class Customer Model'!G16</f>
        <v>447</v>
      </c>
      <c r="K47" s="90">
        <f>'Rate Class Customer Model'!H16</f>
        <v>17</v>
      </c>
      <c r="L47" s="82">
        <f t="shared" si="7"/>
        <v>30013</v>
      </c>
      <c r="M47" s="65"/>
      <c r="N47" s="65"/>
      <c r="O47" s="98"/>
    </row>
    <row r="48" spans="1:31" ht="15" customHeight="1" x14ac:dyDescent="0.25">
      <c r="A48" s="59"/>
      <c r="B48" s="290" t="str">
        <f t="shared" si="6"/>
        <v xml:space="preserve">2013 Actual </v>
      </c>
      <c r="C48" s="291"/>
      <c r="D48" s="291"/>
      <c r="E48" s="90">
        <f>'Rate Class Customer Model'!B17</f>
        <v>21108</v>
      </c>
      <c r="F48" s="90">
        <f>'Rate Class Customer Model'!C17</f>
        <v>2649</v>
      </c>
      <c r="G48" s="90">
        <f>'Rate Class Customer Model'!D17</f>
        <v>255</v>
      </c>
      <c r="H48" s="90">
        <f>'Rate Class Customer Model'!E17</f>
        <v>2</v>
      </c>
      <c r="I48" s="90">
        <f>'Rate Class Customer Model'!F17</f>
        <v>5574</v>
      </c>
      <c r="J48" s="90">
        <f>'Rate Class Customer Model'!G17</f>
        <v>427</v>
      </c>
      <c r="K48" s="90">
        <f>'Rate Class Customer Model'!H17</f>
        <v>15</v>
      </c>
      <c r="L48" s="82">
        <f t="shared" si="7"/>
        <v>30030</v>
      </c>
      <c r="M48" s="65"/>
      <c r="N48" s="65"/>
      <c r="O48" s="98"/>
    </row>
    <row r="49" spans="1:15" ht="15" customHeight="1" x14ac:dyDescent="0.25">
      <c r="A49" s="59"/>
      <c r="B49" s="290" t="str">
        <f t="shared" si="6"/>
        <v xml:space="preserve">2014 Actual </v>
      </c>
      <c r="C49" s="291"/>
      <c r="D49" s="291"/>
      <c r="E49" s="90">
        <f>'Rate Class Customer Model'!B18</f>
        <v>21117</v>
      </c>
      <c r="F49" s="90">
        <f>'Rate Class Customer Model'!C18</f>
        <v>2657</v>
      </c>
      <c r="G49" s="90">
        <f>'Rate Class Customer Model'!D18</f>
        <v>252</v>
      </c>
      <c r="H49" s="90">
        <f>'Rate Class Customer Model'!E18</f>
        <v>2</v>
      </c>
      <c r="I49" s="90">
        <f>'Rate Class Customer Model'!F18</f>
        <v>5419</v>
      </c>
      <c r="J49" s="90">
        <f>'Rate Class Customer Model'!G18</f>
        <v>427</v>
      </c>
      <c r="K49" s="90">
        <f>'Rate Class Customer Model'!H18</f>
        <v>11</v>
      </c>
      <c r="L49" s="82">
        <f t="shared" si="7"/>
        <v>29885</v>
      </c>
      <c r="M49" s="65"/>
      <c r="N49" s="65"/>
      <c r="O49" s="98"/>
    </row>
    <row r="50" spans="1:15" ht="15" customHeight="1" x14ac:dyDescent="0.25">
      <c r="A50" s="59"/>
      <c r="B50" s="290" t="str">
        <f t="shared" si="6"/>
        <v xml:space="preserve">2015 Actual </v>
      </c>
      <c r="C50" s="291"/>
      <c r="D50" s="291"/>
      <c r="E50" s="90">
        <f>'Rate Class Customer Model'!B19</f>
        <v>21122</v>
      </c>
      <c r="F50" s="90">
        <f>'Rate Class Customer Model'!C19</f>
        <v>2646</v>
      </c>
      <c r="G50" s="90">
        <f>'Rate Class Customer Model'!D19</f>
        <v>254</v>
      </c>
      <c r="H50" s="90">
        <f>'Rate Class Customer Model'!E19</f>
        <v>1</v>
      </c>
      <c r="I50" s="90">
        <f>'Rate Class Customer Model'!F19</f>
        <v>5422</v>
      </c>
      <c r="J50" s="90">
        <f>'Rate Class Customer Model'!G19</f>
        <v>402</v>
      </c>
      <c r="K50" s="90">
        <f>'Rate Class Customer Model'!H19</f>
        <v>10</v>
      </c>
      <c r="L50" s="82">
        <f t="shared" si="7"/>
        <v>29857</v>
      </c>
      <c r="M50" s="65"/>
      <c r="N50" s="65"/>
      <c r="O50" s="98"/>
    </row>
    <row r="51" spans="1:15" ht="15" customHeight="1" x14ac:dyDescent="0.25">
      <c r="A51" s="59"/>
      <c r="B51" s="290" t="str">
        <f t="shared" si="6"/>
        <v xml:space="preserve">2016 Actual </v>
      </c>
      <c r="C51" s="291"/>
      <c r="D51" s="291"/>
      <c r="E51" s="90">
        <f>'Rate Class Customer Model'!B20</f>
        <v>21173</v>
      </c>
      <c r="F51" s="90">
        <f>'Rate Class Customer Model'!C20</f>
        <v>2659</v>
      </c>
      <c r="G51" s="90">
        <f>'Rate Class Customer Model'!D20</f>
        <v>253</v>
      </c>
      <c r="H51" s="90">
        <f>'Rate Class Customer Model'!E20</f>
        <v>1</v>
      </c>
      <c r="I51" s="90">
        <f>'Rate Class Customer Model'!F20</f>
        <v>5424</v>
      </c>
      <c r="J51" s="90">
        <f>'Rate Class Customer Model'!G20</f>
        <v>444</v>
      </c>
      <c r="K51" s="90">
        <f>'Rate Class Customer Model'!H20</f>
        <v>10</v>
      </c>
      <c r="L51" s="82">
        <f t="shared" si="7"/>
        <v>29964</v>
      </c>
      <c r="M51" s="65"/>
      <c r="N51" s="65"/>
      <c r="O51" s="98"/>
    </row>
    <row r="52" spans="1:15" ht="15" customHeight="1" x14ac:dyDescent="0.25">
      <c r="A52" s="59"/>
      <c r="B52" s="290" t="str">
        <f t="shared" si="6"/>
        <v xml:space="preserve">2017 Actual </v>
      </c>
      <c r="C52" s="291"/>
      <c r="D52" s="291"/>
      <c r="E52" s="90">
        <f>'Rate Class Customer Model'!B21</f>
        <v>21192</v>
      </c>
      <c r="F52" s="90">
        <f>'Rate Class Customer Model'!C21</f>
        <v>2653</v>
      </c>
      <c r="G52" s="90">
        <f>'Rate Class Customer Model'!D21</f>
        <v>261</v>
      </c>
      <c r="H52" s="90">
        <f>'Rate Class Customer Model'!E21</f>
        <v>1</v>
      </c>
      <c r="I52" s="90">
        <f>'Rate Class Customer Model'!F21</f>
        <v>5424</v>
      </c>
      <c r="J52" s="90">
        <f>'Rate Class Customer Model'!G21</f>
        <v>436</v>
      </c>
      <c r="K52" s="90">
        <f>'Rate Class Customer Model'!H21</f>
        <v>10</v>
      </c>
      <c r="L52" s="82">
        <f t="shared" si="7"/>
        <v>29977</v>
      </c>
      <c r="M52" s="65"/>
      <c r="N52" s="65"/>
      <c r="O52" s="98"/>
    </row>
    <row r="53" spans="1:15" ht="15" customHeight="1" x14ac:dyDescent="0.25">
      <c r="A53" s="59"/>
      <c r="B53" s="290" t="str">
        <f t="shared" si="6"/>
        <v xml:space="preserve">2018 Actual </v>
      </c>
      <c r="C53" s="291"/>
      <c r="D53" s="291"/>
      <c r="E53" s="90">
        <f>'Rate Class Customer Model'!B22</f>
        <v>21229</v>
      </c>
      <c r="F53" s="90">
        <f>'Rate Class Customer Model'!C22</f>
        <v>2654</v>
      </c>
      <c r="G53" s="90">
        <f>'Rate Class Customer Model'!D22</f>
        <v>258</v>
      </c>
      <c r="H53" s="90">
        <f>'Rate Class Customer Model'!E22</f>
        <v>1</v>
      </c>
      <c r="I53" s="90">
        <f>'Rate Class Customer Model'!F22</f>
        <v>5424</v>
      </c>
      <c r="J53" s="90">
        <f>'Rate Class Customer Model'!G22</f>
        <v>425</v>
      </c>
      <c r="K53" s="90">
        <f>'Rate Class Customer Model'!H22</f>
        <v>10</v>
      </c>
      <c r="L53" s="82">
        <f t="shared" si="7"/>
        <v>30001</v>
      </c>
      <c r="M53" s="65"/>
      <c r="N53" s="65"/>
      <c r="O53" s="98"/>
    </row>
    <row r="54" spans="1:15" ht="15" customHeight="1" x14ac:dyDescent="0.25">
      <c r="A54" s="59"/>
      <c r="B54" s="290" t="str">
        <f t="shared" si="6"/>
        <v xml:space="preserve">2019 Actual </v>
      </c>
      <c r="C54" s="291"/>
      <c r="D54" s="291"/>
      <c r="E54" s="90">
        <f>'Rate Class Customer Model'!B23</f>
        <v>21280</v>
      </c>
      <c r="F54" s="90">
        <f>'Rate Class Customer Model'!C23</f>
        <v>2653</v>
      </c>
      <c r="G54" s="90">
        <f>'Rate Class Customer Model'!D23</f>
        <v>263</v>
      </c>
      <c r="H54" s="90">
        <f>'Rate Class Customer Model'!E23</f>
        <v>1</v>
      </c>
      <c r="I54" s="90">
        <f>'Rate Class Customer Model'!F23</f>
        <v>5424</v>
      </c>
      <c r="J54" s="90">
        <f>'Rate Class Customer Model'!G23</f>
        <v>417</v>
      </c>
      <c r="K54" s="90">
        <f>'Rate Class Customer Model'!H23</f>
        <v>9</v>
      </c>
      <c r="L54" s="82">
        <f t="shared" si="7"/>
        <v>30047</v>
      </c>
      <c r="M54" s="65"/>
      <c r="N54" s="65"/>
      <c r="O54" s="98"/>
    </row>
    <row r="55" spans="1:15" ht="15" customHeight="1" x14ac:dyDescent="0.25">
      <c r="A55" s="59"/>
      <c r="B55" s="290" t="str">
        <f t="shared" si="6"/>
        <v>2020 Bridge - Normalized</v>
      </c>
      <c r="C55" s="291"/>
      <c r="D55" s="291"/>
      <c r="E55" s="90">
        <f>'Rate Class Customer Model'!B24</f>
        <v>21316</v>
      </c>
      <c r="F55" s="90">
        <f>'Rate Class Customer Model'!C24</f>
        <v>2651</v>
      </c>
      <c r="G55" s="90">
        <f>'Rate Class Customer Model'!D24</f>
        <v>266</v>
      </c>
      <c r="H55" s="90">
        <f>'Rate Class Customer Model'!E24</f>
        <v>1</v>
      </c>
      <c r="I55" s="90">
        <f>'Rate Class Customer Model'!F24</f>
        <v>5424</v>
      </c>
      <c r="J55" s="90">
        <f>'Rate Class Customer Model'!G24</f>
        <v>408</v>
      </c>
      <c r="K55" s="90">
        <f>'Rate Class Customer Model'!H24</f>
        <v>9</v>
      </c>
      <c r="L55" s="82">
        <f t="shared" si="7"/>
        <v>30075</v>
      </c>
      <c r="M55" s="65"/>
      <c r="N55" s="65"/>
      <c r="O55" s="98"/>
    </row>
    <row r="56" spans="1:15" ht="15" customHeight="1" x14ac:dyDescent="0.25">
      <c r="A56" s="59"/>
      <c r="B56" s="290" t="str">
        <f t="shared" si="6"/>
        <v>2021 Test - Normalized</v>
      </c>
      <c r="C56" s="291"/>
      <c r="D56" s="291"/>
      <c r="E56" s="90">
        <f>'Rate Class Customer Model'!B25</f>
        <v>21352</v>
      </c>
      <c r="F56" s="90">
        <f>'Rate Class Customer Model'!C25</f>
        <v>2649</v>
      </c>
      <c r="G56" s="90">
        <f>'Rate Class Customer Model'!D25</f>
        <v>269</v>
      </c>
      <c r="H56" s="90">
        <f>'Rate Class Customer Model'!E25</f>
        <v>1</v>
      </c>
      <c r="I56" s="90">
        <f>'Rate Class Customer Model'!F25</f>
        <v>5424</v>
      </c>
      <c r="J56" s="90">
        <f>'Rate Class Customer Model'!G25</f>
        <v>400</v>
      </c>
      <c r="K56" s="90">
        <f>'Rate Class Customer Model'!H25</f>
        <v>9</v>
      </c>
      <c r="L56" s="82">
        <f t="shared" si="7"/>
        <v>30104</v>
      </c>
      <c r="M56" s="65"/>
      <c r="N56" s="65"/>
      <c r="O56" s="98"/>
    </row>
    <row r="57" spans="1:15" ht="15" customHeight="1" x14ac:dyDescent="0.25">
      <c r="B57" s="60"/>
      <c r="C57" s="60"/>
      <c r="D57" s="60"/>
    </row>
    <row r="58" spans="1:15" ht="15" customHeight="1" x14ac:dyDescent="0.25">
      <c r="B58" s="61" t="s">
        <v>246</v>
      </c>
      <c r="C58" s="61"/>
      <c r="D58" s="61"/>
      <c r="E58" s="73"/>
      <c r="F58" s="73"/>
      <c r="G58" s="73"/>
      <c r="H58" s="73"/>
      <c r="I58" s="73"/>
      <c r="J58" s="73"/>
      <c r="K58" s="73"/>
    </row>
    <row r="59" spans="1:15" ht="31.5" x14ac:dyDescent="0.25">
      <c r="B59" s="298" t="s">
        <v>65</v>
      </c>
      <c r="C59" s="296"/>
      <c r="D59" s="296"/>
      <c r="E59" s="244" t="str">
        <f t="shared" ref="E59:K59" si="8">E23</f>
        <v xml:space="preserve">Residential </v>
      </c>
      <c r="F59" s="244" t="str">
        <f t="shared" si="8"/>
        <v>General Service &lt; 50 kW</v>
      </c>
      <c r="G59" s="244" t="str">
        <f t="shared" si="8"/>
        <v>General Service 50 to 2999 kW</v>
      </c>
      <c r="H59" s="244" t="str">
        <f t="shared" si="8"/>
        <v>General Service 3000 to 4999 kW</v>
      </c>
      <c r="I59" s="244" t="str">
        <f t="shared" si="8"/>
        <v>Street Lighting</v>
      </c>
      <c r="J59" s="244" t="str">
        <f t="shared" si="8"/>
        <v>Sentinel Lighting</v>
      </c>
      <c r="K59" s="244" t="str">
        <f t="shared" si="8"/>
        <v xml:space="preserve">Unmetered Scattered Load </v>
      </c>
    </row>
    <row r="60" spans="1:15" ht="15" customHeight="1" x14ac:dyDescent="0.25">
      <c r="B60" s="99" t="s">
        <v>75</v>
      </c>
      <c r="C60" s="100"/>
      <c r="D60" s="100"/>
      <c r="E60" s="100"/>
      <c r="F60" s="100"/>
      <c r="G60" s="100"/>
      <c r="H60" s="100"/>
      <c r="I60" s="100"/>
      <c r="J60" s="100"/>
      <c r="K60" s="101"/>
    </row>
    <row r="61" spans="1:15" ht="15" customHeight="1" x14ac:dyDescent="0.25">
      <c r="B61" s="290"/>
      <c r="C61" s="291"/>
      <c r="D61" s="291"/>
      <c r="E61" s="80"/>
      <c r="F61" s="80"/>
      <c r="G61" s="80"/>
      <c r="H61" s="80"/>
      <c r="I61" s="80"/>
      <c r="J61" s="80"/>
      <c r="K61" s="80"/>
    </row>
    <row r="62" spans="1:15" ht="15" customHeight="1" x14ac:dyDescent="0.25">
      <c r="B62" s="290" t="str">
        <f>B26</f>
        <v>2015 Board Approved</v>
      </c>
      <c r="C62" s="291"/>
      <c r="D62" s="291"/>
      <c r="E62" s="80">
        <f t="shared" ref="E62:K62" si="9">E26*1000000/E43</f>
        <v>9728.149261503504</v>
      </c>
      <c r="F62" s="80">
        <f t="shared" si="9"/>
        <v>31994.391679160421</v>
      </c>
      <c r="G62" s="80">
        <f t="shared" si="9"/>
        <v>849734.77327935223</v>
      </c>
      <c r="H62" s="80">
        <f t="shared" si="9"/>
        <v>17254810</v>
      </c>
      <c r="I62" s="80">
        <f t="shared" si="9"/>
        <v>372.53404687211668</v>
      </c>
      <c r="J62" s="80">
        <f t="shared" si="9"/>
        <v>985.33808252427184</v>
      </c>
      <c r="K62" s="80">
        <f t="shared" si="9"/>
        <v>4577.8571428571422</v>
      </c>
    </row>
    <row r="63" spans="1:15" ht="15" customHeight="1" x14ac:dyDescent="0.25">
      <c r="B63" s="290"/>
      <c r="C63" s="291"/>
      <c r="D63" s="291"/>
      <c r="E63" s="80"/>
      <c r="F63" s="80"/>
      <c r="G63" s="80"/>
      <c r="H63" s="80"/>
      <c r="I63" s="80"/>
      <c r="J63" s="102"/>
      <c r="K63" s="63"/>
    </row>
    <row r="64" spans="1:15" ht="15" customHeight="1" x14ac:dyDescent="0.25">
      <c r="B64" s="290" t="str">
        <f t="shared" ref="B64:B75" si="10">B28</f>
        <v xml:space="preserve">2010 Actual </v>
      </c>
      <c r="C64" s="291"/>
      <c r="D64" s="291"/>
      <c r="E64" s="80">
        <f t="shared" ref="E64:K75" si="11">E28*1000000/E45</f>
        <v>9857.5371205611373</v>
      </c>
      <c r="F64" s="80">
        <f t="shared" si="11"/>
        <v>32298.556426130068</v>
      </c>
      <c r="G64" s="80">
        <f t="shared" si="11"/>
        <v>855158.87223048322</v>
      </c>
      <c r="H64" s="80">
        <f t="shared" si="11"/>
        <v>20514051.905000001</v>
      </c>
      <c r="I64" s="80">
        <f t="shared" si="11"/>
        <v>596.58832196697767</v>
      </c>
      <c r="J64" s="80">
        <f t="shared" si="11"/>
        <v>1118.6789194499017</v>
      </c>
      <c r="K64" s="80">
        <f t="shared" si="11"/>
        <v>8690.7042105263154</v>
      </c>
      <c r="M64" s="65"/>
      <c r="N64" s="65"/>
      <c r="O64" s="65"/>
    </row>
    <row r="65" spans="2:25" ht="15" customHeight="1" x14ac:dyDescent="0.25">
      <c r="B65" s="290" t="str">
        <f t="shared" si="10"/>
        <v xml:space="preserve">2011 Actual </v>
      </c>
      <c r="C65" s="291"/>
      <c r="D65" s="291"/>
      <c r="E65" s="80">
        <f t="shared" si="11"/>
        <v>9829.2606290292206</v>
      </c>
      <c r="F65" s="80">
        <f t="shared" si="11"/>
        <v>32414.465871140888</v>
      </c>
      <c r="G65" s="80">
        <f t="shared" si="11"/>
        <v>864430.47033582116</v>
      </c>
      <c r="H65" s="80">
        <f t="shared" si="11"/>
        <v>18543425.905000001</v>
      </c>
      <c r="I65" s="80">
        <f t="shared" si="11"/>
        <v>574.83363293864375</v>
      </c>
      <c r="J65" s="80">
        <f t="shared" si="11"/>
        <v>1016.1690295358651</v>
      </c>
      <c r="K65" s="80">
        <f t="shared" si="11"/>
        <v>4670.7461111111106</v>
      </c>
      <c r="M65" s="65"/>
      <c r="N65" s="65"/>
      <c r="O65" s="65"/>
    </row>
    <row r="66" spans="2:25" ht="15" customHeight="1" x14ac:dyDescent="0.25">
      <c r="B66" s="290" t="str">
        <f t="shared" si="10"/>
        <v xml:space="preserve">2012 Actual </v>
      </c>
      <c r="C66" s="291"/>
      <c r="D66" s="291"/>
      <c r="E66" s="80">
        <f t="shared" si="11"/>
        <v>9519.5228361962854</v>
      </c>
      <c r="F66" s="80">
        <f t="shared" si="11"/>
        <v>32116.699644612476</v>
      </c>
      <c r="G66" s="80">
        <f t="shared" si="11"/>
        <v>880663.20059055113</v>
      </c>
      <c r="H66" s="80">
        <f t="shared" si="11"/>
        <v>17861385.91</v>
      </c>
      <c r="I66" s="80">
        <f t="shared" si="11"/>
        <v>500.58099928238255</v>
      </c>
      <c r="J66" s="80">
        <f t="shared" si="11"/>
        <v>1091.1845413870246</v>
      </c>
      <c r="K66" s="80">
        <f t="shared" si="11"/>
        <v>5222.0288235294101</v>
      </c>
      <c r="M66" s="65"/>
      <c r="N66" s="65"/>
      <c r="O66" s="65"/>
    </row>
    <row r="67" spans="2:25" ht="15" customHeight="1" x14ac:dyDescent="0.25">
      <c r="B67" s="290" t="str">
        <f t="shared" si="10"/>
        <v xml:space="preserve">2013 Actual </v>
      </c>
      <c r="C67" s="291"/>
      <c r="D67" s="291"/>
      <c r="E67" s="80">
        <f t="shared" si="11"/>
        <v>9844.9232167898499</v>
      </c>
      <c r="F67" s="80">
        <f t="shared" si="11"/>
        <v>32132.627674594391</v>
      </c>
      <c r="G67" s="80">
        <f t="shared" si="11"/>
        <v>849468.44552941155</v>
      </c>
      <c r="H67" s="80">
        <f t="shared" si="11"/>
        <v>17887517.895</v>
      </c>
      <c r="I67" s="80">
        <f t="shared" si="11"/>
        <v>421.28959992823826</v>
      </c>
      <c r="J67" s="80">
        <f t="shared" si="11"/>
        <v>1039.6970023419219</v>
      </c>
      <c r="K67" s="80">
        <f t="shared" si="11"/>
        <v>5938.9446666666654</v>
      </c>
      <c r="M67" s="65"/>
      <c r="N67" s="65"/>
      <c r="O67" s="65"/>
    </row>
    <row r="68" spans="2:25" ht="15" customHeight="1" x14ac:dyDescent="0.25">
      <c r="B68" s="290" t="str">
        <f t="shared" si="10"/>
        <v xml:space="preserve">2014 Actual </v>
      </c>
      <c r="C68" s="291"/>
      <c r="D68" s="291"/>
      <c r="E68" s="80">
        <f t="shared" si="11"/>
        <v>9752.8095728560093</v>
      </c>
      <c r="F68" s="80">
        <f t="shared" si="11"/>
        <v>32129.866270229926</v>
      </c>
      <c r="G68" s="80">
        <f t="shared" si="11"/>
        <v>862048.36285714281</v>
      </c>
      <c r="H68" s="80">
        <f t="shared" si="11"/>
        <v>13463277.910000002</v>
      </c>
      <c r="I68" s="80">
        <f t="shared" si="11"/>
        <v>373.97414467613953</v>
      </c>
      <c r="J68" s="80">
        <f t="shared" si="11"/>
        <v>992.95700234192145</v>
      </c>
      <c r="K68" s="80">
        <f t="shared" si="11"/>
        <v>4600.8681818181803</v>
      </c>
      <c r="M68" s="65"/>
      <c r="N68" s="65"/>
      <c r="O68" s="65"/>
    </row>
    <row r="69" spans="2:25" ht="15" customHeight="1" x14ac:dyDescent="0.25">
      <c r="B69" s="290" t="str">
        <f t="shared" si="10"/>
        <v xml:space="preserve">2015 Actual </v>
      </c>
      <c r="C69" s="291"/>
      <c r="D69" s="291"/>
      <c r="E69" s="80">
        <f t="shared" si="11"/>
        <v>9313.9901903228838</v>
      </c>
      <c r="F69" s="80">
        <f t="shared" si="11"/>
        <v>31582.844244142278</v>
      </c>
      <c r="G69" s="80">
        <f t="shared" si="11"/>
        <v>851334.15114173223</v>
      </c>
      <c r="H69" s="80">
        <f t="shared" si="11"/>
        <v>17738635.890000001</v>
      </c>
      <c r="I69" s="80">
        <f t="shared" si="11"/>
        <v>375.57519734415342</v>
      </c>
      <c r="J69" s="80">
        <f t="shared" si="11"/>
        <v>930.04982587064796</v>
      </c>
      <c r="K69" s="80">
        <f t="shared" si="11"/>
        <v>4293.3589999999995</v>
      </c>
      <c r="M69" s="65"/>
      <c r="N69" s="65"/>
      <c r="O69" s="65"/>
    </row>
    <row r="70" spans="2:25" ht="15" customHeight="1" x14ac:dyDescent="0.25">
      <c r="B70" s="290" t="str">
        <f t="shared" si="10"/>
        <v xml:space="preserve">2016 Actual </v>
      </c>
      <c r="C70" s="291"/>
      <c r="D70" s="291"/>
      <c r="E70" s="80">
        <f t="shared" si="11"/>
        <v>8888.429675057876</v>
      </c>
      <c r="F70" s="80">
        <f t="shared" si="11"/>
        <v>30328.357472734187</v>
      </c>
      <c r="G70" s="80">
        <f t="shared" si="11"/>
        <v>793993.97245059302</v>
      </c>
      <c r="H70" s="80">
        <f t="shared" si="11"/>
        <v>16805471.899999999</v>
      </c>
      <c r="I70" s="80">
        <f t="shared" si="11"/>
        <v>376.56740044247789</v>
      </c>
      <c r="J70" s="80">
        <f t="shared" si="11"/>
        <v>352.00691441441444</v>
      </c>
      <c r="K70" s="80">
        <f t="shared" si="11"/>
        <v>4293.3559999999989</v>
      </c>
      <c r="M70" s="65"/>
      <c r="N70" s="65"/>
      <c r="O70" s="65"/>
    </row>
    <row r="71" spans="2:25" ht="15" customHeight="1" x14ac:dyDescent="0.25">
      <c r="B71" s="290" t="str">
        <f t="shared" si="10"/>
        <v xml:space="preserve">2017 Actual </v>
      </c>
      <c r="C71" s="291"/>
      <c r="D71" s="291"/>
      <c r="E71" s="80">
        <f t="shared" si="11"/>
        <v>8708.3155497357602</v>
      </c>
      <c r="F71" s="80">
        <f t="shared" si="11"/>
        <v>29692.660147003433</v>
      </c>
      <c r="G71" s="80">
        <f t="shared" si="11"/>
        <v>767609.82942528732</v>
      </c>
      <c r="H71" s="80">
        <f t="shared" si="11"/>
        <v>16522751.91</v>
      </c>
      <c r="I71" s="80">
        <f t="shared" si="11"/>
        <v>375.4367109144543</v>
      </c>
      <c r="J71" s="80">
        <f t="shared" si="11"/>
        <v>296.04577981651346</v>
      </c>
      <c r="K71" s="80">
        <f t="shared" si="11"/>
        <v>4293.3589999999986</v>
      </c>
      <c r="M71" s="65"/>
      <c r="N71" s="65"/>
      <c r="O71" s="65"/>
    </row>
    <row r="72" spans="2:25" ht="15" customHeight="1" x14ac:dyDescent="0.25">
      <c r="B72" s="290" t="str">
        <f t="shared" si="10"/>
        <v xml:space="preserve">2018 Actual </v>
      </c>
      <c r="C72" s="291"/>
      <c r="D72" s="291"/>
      <c r="E72" s="80">
        <f t="shared" si="11"/>
        <v>9269.5901808846193</v>
      </c>
      <c r="F72" s="80">
        <f t="shared" si="11"/>
        <v>30826.707611152993</v>
      </c>
      <c r="G72" s="80">
        <f t="shared" si="11"/>
        <v>775188.63612403127</v>
      </c>
      <c r="H72" s="80">
        <f t="shared" si="11"/>
        <v>16185719.91</v>
      </c>
      <c r="I72" s="80">
        <f t="shared" si="11"/>
        <v>374.55663348082601</v>
      </c>
      <c r="J72" s="80">
        <f t="shared" si="11"/>
        <v>293.41959999999978</v>
      </c>
      <c r="K72" s="80">
        <f t="shared" si="11"/>
        <v>4207.2619999999988</v>
      </c>
      <c r="M72" s="65"/>
      <c r="N72" s="65"/>
      <c r="O72" s="65"/>
    </row>
    <row r="73" spans="2:25" ht="15" customHeight="1" x14ac:dyDescent="0.25">
      <c r="B73" s="290" t="str">
        <f t="shared" si="10"/>
        <v xml:space="preserve">2019 Actual </v>
      </c>
      <c r="C73" s="291"/>
      <c r="D73" s="291"/>
      <c r="E73" s="80">
        <f t="shared" si="11"/>
        <v>9297.3222626879651</v>
      </c>
      <c r="F73" s="80">
        <f t="shared" si="11"/>
        <v>30309.170784018093</v>
      </c>
      <c r="G73" s="80">
        <f t="shared" si="11"/>
        <v>760278.79745247157</v>
      </c>
      <c r="H73" s="80">
        <f t="shared" si="11"/>
        <v>15352959.899999999</v>
      </c>
      <c r="I73" s="80">
        <f t="shared" si="11"/>
        <v>375.4367109144543</v>
      </c>
      <c r="J73" s="80">
        <f t="shared" si="11"/>
        <v>293.57431654676259</v>
      </c>
      <c r="K73" s="80">
        <f t="shared" si="11"/>
        <v>4387.7444444444445</v>
      </c>
      <c r="M73" s="65"/>
      <c r="N73" s="65"/>
      <c r="O73" s="65"/>
    </row>
    <row r="74" spans="2:25" ht="15" customHeight="1" x14ac:dyDescent="0.25">
      <c r="B74" s="290" t="str">
        <f t="shared" si="10"/>
        <v>2020 Bridge - Normalized</v>
      </c>
      <c r="C74" s="291"/>
      <c r="D74" s="291"/>
      <c r="E74" s="80">
        <f t="shared" si="11"/>
        <v>9367.7151866675158</v>
      </c>
      <c r="F74" s="80">
        <f t="shared" si="11"/>
        <v>30040.348489629912</v>
      </c>
      <c r="G74" s="80">
        <f t="shared" si="11"/>
        <v>734975.93353069003</v>
      </c>
      <c r="H74" s="80">
        <f t="shared" si="11"/>
        <v>14897243.509943135</v>
      </c>
      <c r="I74" s="80">
        <f t="shared" si="11"/>
        <v>375.4367109144543</v>
      </c>
      <c r="J74" s="80">
        <f t="shared" si="11"/>
        <v>293.57431654676259</v>
      </c>
      <c r="K74" s="80">
        <f t="shared" si="11"/>
        <v>4387.7444444444445</v>
      </c>
      <c r="M74" s="65"/>
      <c r="N74" s="65"/>
      <c r="O74" s="65"/>
    </row>
    <row r="75" spans="2:25" ht="15" customHeight="1" x14ac:dyDescent="0.25">
      <c r="B75" s="290" t="str">
        <f t="shared" si="10"/>
        <v>2021 Test - Normalized</v>
      </c>
      <c r="C75" s="291"/>
      <c r="D75" s="291"/>
      <c r="E75" s="80">
        <f t="shared" si="11"/>
        <v>9446.6612522966334</v>
      </c>
      <c r="F75" s="80">
        <f t="shared" si="11"/>
        <v>29836.109165492267</v>
      </c>
      <c r="G75" s="80">
        <f t="shared" si="11"/>
        <v>720065.18029566715</v>
      </c>
      <c r="H75" s="80">
        <f t="shared" si="11"/>
        <v>14455053.985684082</v>
      </c>
      <c r="I75" s="80">
        <f t="shared" si="11"/>
        <v>375.4367109144543</v>
      </c>
      <c r="J75" s="80">
        <f t="shared" si="11"/>
        <v>293.57431654676259</v>
      </c>
      <c r="K75" s="80">
        <f t="shared" si="11"/>
        <v>4387.7444444444445</v>
      </c>
      <c r="M75" s="65"/>
      <c r="N75" s="65"/>
      <c r="O75" s="65"/>
    </row>
    <row r="76" spans="2:25" ht="15" customHeight="1" x14ac:dyDescent="0.25">
      <c r="B76" s="60"/>
      <c r="C76" s="60"/>
      <c r="D76" s="60"/>
      <c r="Y76" s="65"/>
    </row>
    <row r="77" spans="2:25" ht="15" customHeight="1" x14ac:dyDescent="0.25">
      <c r="B77" s="76" t="s">
        <v>76</v>
      </c>
      <c r="C77" s="77"/>
      <c r="D77" s="77"/>
      <c r="E77" s="77"/>
      <c r="F77" s="77"/>
      <c r="G77" s="77"/>
      <c r="H77" s="77"/>
      <c r="I77" s="77"/>
      <c r="J77" s="103"/>
      <c r="K77" s="104"/>
      <c r="Y77" s="65"/>
    </row>
    <row r="78" spans="2:25" ht="15" customHeight="1" x14ac:dyDescent="0.25">
      <c r="B78" s="290"/>
      <c r="C78" s="291"/>
      <c r="D78" s="291"/>
      <c r="E78" s="91"/>
      <c r="F78" s="91"/>
      <c r="G78" s="91"/>
      <c r="H78" s="91"/>
      <c r="I78" s="91"/>
      <c r="J78" s="91"/>
      <c r="K78" s="91"/>
      <c r="Y78" s="65"/>
    </row>
    <row r="79" spans="2:25" ht="15" customHeight="1" x14ac:dyDescent="0.25">
      <c r="B79" s="290" t="s">
        <v>196</v>
      </c>
      <c r="C79" s="291"/>
      <c r="D79" s="291"/>
      <c r="E79" s="91">
        <f t="shared" ref="E79:K79" si="12">E62/E69-1</f>
        <v>4.4466341784526131E-2</v>
      </c>
      <c r="F79" s="91">
        <f t="shared" si="12"/>
        <v>1.3030727436604161E-2</v>
      </c>
      <c r="G79" s="91">
        <f t="shared" si="12"/>
        <v>-1.8786722701480407E-3</v>
      </c>
      <c r="H79" s="91">
        <f t="shared" si="12"/>
        <v>-2.7275259101110061E-2</v>
      </c>
      <c r="I79" s="91">
        <f t="shared" si="12"/>
        <v>-8.0973144487228588E-3</v>
      </c>
      <c r="J79" s="91">
        <f t="shared" si="12"/>
        <v>5.9446553416497627E-2</v>
      </c>
      <c r="K79" s="91">
        <f t="shared" si="12"/>
        <v>6.6264699238322011E-2</v>
      </c>
      <c r="Y79" s="65"/>
    </row>
    <row r="80" spans="2:25" ht="15" customHeight="1" x14ac:dyDescent="0.25">
      <c r="B80" s="290"/>
      <c r="C80" s="291"/>
      <c r="D80" s="291"/>
      <c r="E80" s="91"/>
      <c r="F80" s="91"/>
      <c r="G80" s="91"/>
      <c r="H80" s="91"/>
      <c r="I80" s="91"/>
      <c r="J80" s="91"/>
      <c r="K80" s="91"/>
      <c r="Y80" s="65"/>
    </row>
    <row r="81" spans="2:11" ht="15" customHeight="1" x14ac:dyDescent="0.25">
      <c r="B81" s="290" t="str">
        <f t="shared" ref="B81:B92" si="13">B64</f>
        <v xml:space="preserve">2010 Actual </v>
      </c>
      <c r="C81" s="291"/>
      <c r="D81" s="291"/>
      <c r="E81" s="91"/>
      <c r="F81" s="91"/>
      <c r="G81" s="91"/>
      <c r="H81" s="91"/>
      <c r="I81" s="91"/>
      <c r="J81" s="91"/>
      <c r="K81" s="91"/>
    </row>
    <row r="82" spans="2:11" ht="15" customHeight="1" x14ac:dyDescent="0.25">
      <c r="B82" s="290" t="str">
        <f t="shared" si="13"/>
        <v xml:space="preserve">2011 Actual </v>
      </c>
      <c r="C82" s="291"/>
      <c r="D82" s="291"/>
      <c r="E82" s="91">
        <f t="shared" ref="E82:K92" si="14">E65/E64-1</f>
        <v>-2.8685148415963369E-3</v>
      </c>
      <c r="F82" s="91">
        <f t="shared" si="14"/>
        <v>3.5886880974360658E-3</v>
      </c>
      <c r="G82" s="91">
        <f t="shared" si="14"/>
        <v>1.0841959788308264E-2</v>
      </c>
      <c r="H82" s="91">
        <f t="shared" si="14"/>
        <v>-9.6062250847658626E-2</v>
      </c>
      <c r="I82" s="91">
        <f t="shared" si="14"/>
        <v>-3.6465160693403775E-2</v>
      </c>
      <c r="J82" s="91">
        <f t="shared" si="14"/>
        <v>-9.1634773956806859E-2</v>
      </c>
      <c r="K82" s="91">
        <f t="shared" si="14"/>
        <v>-0.4625583844570581</v>
      </c>
    </row>
    <row r="83" spans="2:11" ht="15" customHeight="1" x14ac:dyDescent="0.25">
      <c r="B83" s="290" t="str">
        <f t="shared" si="13"/>
        <v xml:space="preserve">2012 Actual </v>
      </c>
      <c r="C83" s="291"/>
      <c r="D83" s="291"/>
      <c r="E83" s="91">
        <f t="shared" si="14"/>
        <v>-3.1511809944094082E-2</v>
      </c>
      <c r="F83" s="91">
        <f t="shared" si="14"/>
        <v>-9.1862141956045029E-3</v>
      </c>
      <c r="G83" s="91">
        <f t="shared" si="14"/>
        <v>1.8778526222500869E-2</v>
      </c>
      <c r="H83" s="91">
        <f t="shared" si="14"/>
        <v>-3.6780689743856732E-2</v>
      </c>
      <c r="I83" s="91">
        <f t="shared" si="14"/>
        <v>-0.12917238902092343</v>
      </c>
      <c r="J83" s="91">
        <f t="shared" si="14"/>
        <v>7.3821883634283658E-2</v>
      </c>
      <c r="K83" s="91">
        <f t="shared" si="14"/>
        <v>0.11802883293246613</v>
      </c>
    </row>
    <row r="84" spans="2:11" ht="15" customHeight="1" x14ac:dyDescent="0.25">
      <c r="B84" s="290" t="str">
        <f t="shared" si="13"/>
        <v xml:space="preserve">2013 Actual </v>
      </c>
      <c r="C84" s="291"/>
      <c r="D84" s="291"/>
      <c r="E84" s="91">
        <f t="shared" si="14"/>
        <v>3.41824255472436E-2</v>
      </c>
      <c r="F84" s="91">
        <f t="shared" si="14"/>
        <v>4.959423028569887E-4</v>
      </c>
      <c r="G84" s="91">
        <f t="shared" si="14"/>
        <v>-3.5421890048569216E-2</v>
      </c>
      <c r="H84" s="91">
        <f t="shared" si="14"/>
        <v>1.4630435248235152E-3</v>
      </c>
      <c r="I84" s="91">
        <f t="shared" si="14"/>
        <v>-0.15839873960021256</v>
      </c>
      <c r="J84" s="91">
        <f t="shared" si="14"/>
        <v>-4.718499675559551E-2</v>
      </c>
      <c r="K84" s="91">
        <f t="shared" si="14"/>
        <v>0.13728684144885928</v>
      </c>
    </row>
    <row r="85" spans="2:11" ht="15" customHeight="1" x14ac:dyDescent="0.25">
      <c r="B85" s="290" t="str">
        <f t="shared" si="13"/>
        <v xml:space="preserve">2014 Actual </v>
      </c>
      <c r="C85" s="291"/>
      <c r="D85" s="291"/>
      <c r="E85" s="91">
        <f t="shared" si="14"/>
        <v>-9.3564613867934687E-3</v>
      </c>
      <c r="F85" s="91">
        <f t="shared" si="14"/>
        <v>-8.5937707691718934E-5</v>
      </c>
      <c r="G85" s="91">
        <f t="shared" si="14"/>
        <v>1.4809163770516554E-2</v>
      </c>
      <c r="H85" s="91">
        <f t="shared" si="14"/>
        <v>-0.2473367188768365</v>
      </c>
      <c r="I85" s="91">
        <f t="shared" si="14"/>
        <v>-0.11231099761341923</v>
      </c>
      <c r="J85" s="91">
        <f t="shared" si="14"/>
        <v>-4.4955405175467922E-2</v>
      </c>
      <c r="K85" s="91">
        <f t="shared" si="14"/>
        <v>-0.22530543050159502</v>
      </c>
    </row>
    <row r="86" spans="2:11" ht="15" customHeight="1" x14ac:dyDescent="0.25">
      <c r="B86" s="290" t="str">
        <f t="shared" si="13"/>
        <v xml:space="preserve">2015 Actual </v>
      </c>
      <c r="C86" s="291"/>
      <c r="D86" s="291"/>
      <c r="E86" s="91">
        <f t="shared" si="14"/>
        <v>-4.4994150583483772E-2</v>
      </c>
      <c r="F86" s="91">
        <f t="shared" si="14"/>
        <v>-1.7025344005072718E-2</v>
      </c>
      <c r="G86" s="91">
        <f t="shared" si="14"/>
        <v>-1.2428782626417556E-2</v>
      </c>
      <c r="H86" s="91">
        <f t="shared" si="14"/>
        <v>0.31755698787324516</v>
      </c>
      <c r="I86" s="91">
        <f t="shared" si="14"/>
        <v>4.2811854530755422E-3</v>
      </c>
      <c r="J86" s="91">
        <f t="shared" si="14"/>
        <v>-6.3353374136951413E-2</v>
      </c>
      <c r="K86" s="91">
        <f t="shared" si="14"/>
        <v>-6.6837207602122306E-2</v>
      </c>
    </row>
    <row r="87" spans="2:11" ht="15" customHeight="1" x14ac:dyDescent="0.25">
      <c r="B87" s="290" t="str">
        <f t="shared" si="13"/>
        <v xml:space="preserve">2016 Actual </v>
      </c>
      <c r="C87" s="291"/>
      <c r="D87" s="291"/>
      <c r="E87" s="91">
        <f t="shared" si="14"/>
        <v>-4.5690462043556757E-2</v>
      </c>
      <c r="F87" s="91">
        <f t="shared" si="14"/>
        <v>-3.972051287435141E-2</v>
      </c>
      <c r="G87" s="91">
        <f t="shared" si="14"/>
        <v>-6.7353316690326293E-2</v>
      </c>
      <c r="H87" s="91">
        <f t="shared" si="14"/>
        <v>-5.2606299367476406E-2</v>
      </c>
      <c r="I87" s="91">
        <f t="shared" si="14"/>
        <v>2.6418227437294828E-3</v>
      </c>
      <c r="J87" s="91">
        <f t="shared" si="14"/>
        <v>-0.62151821910735805</v>
      </c>
      <c r="K87" s="91">
        <f t="shared" si="14"/>
        <v>-6.9875358676974031E-7</v>
      </c>
    </row>
    <row r="88" spans="2:11" ht="15" customHeight="1" x14ac:dyDescent="0.25">
      <c r="B88" s="290" t="str">
        <f t="shared" si="13"/>
        <v xml:space="preserve">2017 Actual </v>
      </c>
      <c r="C88" s="291"/>
      <c r="D88" s="291"/>
      <c r="E88" s="91">
        <f t="shared" si="14"/>
        <v>-2.026388596261719E-2</v>
      </c>
      <c r="F88" s="91">
        <f t="shared" si="14"/>
        <v>-2.0960493040292683E-2</v>
      </c>
      <c r="G88" s="91">
        <f t="shared" si="14"/>
        <v>-3.3229651534851468E-2</v>
      </c>
      <c r="H88" s="91">
        <f t="shared" si="14"/>
        <v>-1.6823091412267788E-2</v>
      </c>
      <c r="I88" s="91">
        <f t="shared" si="14"/>
        <v>-3.0026219122925024E-3</v>
      </c>
      <c r="J88" s="91">
        <f t="shared" si="14"/>
        <v>-0.15897737318880745</v>
      </c>
      <c r="K88" s="91">
        <f t="shared" si="14"/>
        <v>6.9875407482378193E-7</v>
      </c>
    </row>
    <row r="89" spans="2:11" ht="15" customHeight="1" x14ac:dyDescent="0.25">
      <c r="B89" s="290" t="str">
        <f t="shared" si="13"/>
        <v xml:space="preserve">2018 Actual </v>
      </c>
      <c r="C89" s="291"/>
      <c r="D89" s="291"/>
      <c r="E89" s="91">
        <f t="shared" si="14"/>
        <v>6.4452720844031752E-2</v>
      </c>
      <c r="F89" s="91">
        <f t="shared" si="14"/>
        <v>3.8192855019896443E-2</v>
      </c>
      <c r="G89" s="91">
        <f t="shared" si="14"/>
        <v>9.8732538435812867E-3</v>
      </c>
      <c r="H89" s="91">
        <f t="shared" si="14"/>
        <v>-2.0398054866152093E-2</v>
      </c>
      <c r="I89" s="91">
        <f t="shared" si="14"/>
        <v>-2.3441432551565278E-3</v>
      </c>
      <c r="J89" s="91">
        <f t="shared" si="14"/>
        <v>-8.8708571293986127E-3</v>
      </c>
      <c r="K89" s="91">
        <f t="shared" si="14"/>
        <v>-2.005352918309411E-2</v>
      </c>
    </row>
    <row r="90" spans="2:11" ht="15" customHeight="1" x14ac:dyDescent="0.25">
      <c r="B90" s="290" t="str">
        <f t="shared" si="13"/>
        <v xml:space="preserve">2019 Actual </v>
      </c>
      <c r="C90" s="291"/>
      <c r="D90" s="291"/>
      <c r="E90" s="91">
        <f t="shared" si="14"/>
        <v>2.9917268468389047E-3</v>
      </c>
      <c r="F90" s="91">
        <f t="shared" si="14"/>
        <v>-1.6788585847800963E-2</v>
      </c>
      <c r="G90" s="91">
        <f t="shared" si="14"/>
        <v>-1.9233819972012678E-2</v>
      </c>
      <c r="H90" s="91">
        <f t="shared" si="14"/>
        <v>-5.1450291654033808E-2</v>
      </c>
      <c r="I90" s="91">
        <f t="shared" si="14"/>
        <v>2.349651174108347E-3</v>
      </c>
      <c r="J90" s="91">
        <f t="shared" si="14"/>
        <v>5.2728770253529511E-4</v>
      </c>
      <c r="K90" s="91">
        <f t="shared" si="14"/>
        <v>4.2897838177048619E-2</v>
      </c>
    </row>
    <row r="91" spans="2:11" ht="15" customHeight="1" x14ac:dyDescent="0.25">
      <c r="B91" s="290" t="str">
        <f t="shared" si="13"/>
        <v>2020 Bridge - Normalized</v>
      </c>
      <c r="C91" s="291"/>
      <c r="D91" s="291"/>
      <c r="E91" s="91">
        <f t="shared" si="14"/>
        <v>7.5713116089406451E-3</v>
      </c>
      <c r="F91" s="91">
        <f t="shared" si="14"/>
        <v>-8.8693384686699961E-3</v>
      </c>
      <c r="G91" s="91">
        <f t="shared" si="14"/>
        <v>-3.3281033229607182E-2</v>
      </c>
      <c r="H91" s="91">
        <f t="shared" si="14"/>
        <v>-2.9682640547824546E-2</v>
      </c>
      <c r="I91" s="91">
        <f t="shared" si="14"/>
        <v>0</v>
      </c>
      <c r="J91" s="91">
        <f t="shared" si="14"/>
        <v>0</v>
      </c>
      <c r="K91" s="91">
        <f t="shared" si="14"/>
        <v>0</v>
      </c>
    </row>
    <row r="92" spans="2:11" ht="15" customHeight="1" x14ac:dyDescent="0.25">
      <c r="B92" s="290" t="str">
        <f t="shared" si="13"/>
        <v>2021 Test - Normalized</v>
      </c>
      <c r="C92" s="291"/>
      <c r="D92" s="291"/>
      <c r="E92" s="91">
        <f t="shared" si="14"/>
        <v>8.4274621992646015E-3</v>
      </c>
      <c r="F92" s="91">
        <f t="shared" si="14"/>
        <v>-6.7988333826469738E-3</v>
      </c>
      <c r="G92" s="91">
        <f t="shared" si="14"/>
        <v>-2.0287403375773616E-2</v>
      </c>
      <c r="H92" s="91">
        <f t="shared" si="14"/>
        <v>-2.9682640547824435E-2</v>
      </c>
      <c r="I92" s="91">
        <f t="shared" si="14"/>
        <v>0</v>
      </c>
      <c r="J92" s="91">
        <f t="shared" si="14"/>
        <v>0</v>
      </c>
      <c r="K92" s="91">
        <f t="shared" si="14"/>
        <v>0</v>
      </c>
    </row>
    <row r="93" spans="2:11" ht="16.5" customHeight="1" x14ac:dyDescent="0.25">
      <c r="B93" s="60"/>
      <c r="C93" s="60"/>
      <c r="D93" s="60"/>
    </row>
    <row r="94" spans="2:11" ht="15" customHeight="1" x14ac:dyDescent="0.25">
      <c r="B94" s="61" t="s">
        <v>247</v>
      </c>
      <c r="C94" s="61"/>
      <c r="D94" s="61"/>
      <c r="E94" s="73"/>
      <c r="F94" s="73"/>
      <c r="G94" s="73"/>
    </row>
    <row r="95" spans="2:11" ht="12.5" x14ac:dyDescent="0.25">
      <c r="B95" s="298" t="s">
        <v>77</v>
      </c>
      <c r="C95" s="296"/>
      <c r="D95" s="296"/>
      <c r="E95" s="244" t="s">
        <v>78</v>
      </c>
      <c r="F95" s="74"/>
      <c r="G95" s="74"/>
    </row>
    <row r="96" spans="2:11" ht="15" customHeight="1" x14ac:dyDescent="0.25">
      <c r="B96" s="290" t="s">
        <v>22</v>
      </c>
      <c r="C96" s="291"/>
      <c r="D96" s="291"/>
      <c r="E96" s="75">
        <f>+'Purchased Power Model'!O81</f>
        <v>0.95717145486201205</v>
      </c>
      <c r="F96" s="74"/>
      <c r="G96" s="74"/>
    </row>
    <row r="97" spans="2:9" ht="15" customHeight="1" x14ac:dyDescent="0.25">
      <c r="B97" s="290" t="s">
        <v>23</v>
      </c>
      <c r="C97" s="291"/>
      <c r="D97" s="291"/>
      <c r="E97" s="75">
        <f>+'Purchased Power Model'!O82</f>
        <v>0.95405665157924924</v>
      </c>
      <c r="F97" s="74"/>
      <c r="G97" s="74"/>
    </row>
    <row r="98" spans="2:9" ht="15" customHeight="1" x14ac:dyDescent="0.25">
      <c r="B98" s="290" t="s">
        <v>79</v>
      </c>
      <c r="C98" s="291"/>
      <c r="D98" s="291"/>
      <c r="E98" s="79">
        <f>+'Purchased Power Model'!R88</f>
        <v>307.29756198697243</v>
      </c>
      <c r="F98" s="74"/>
      <c r="G98" s="74"/>
    </row>
    <row r="99" spans="2:9" ht="15" customHeight="1" x14ac:dyDescent="0.25">
      <c r="B99" s="290" t="s">
        <v>141</v>
      </c>
      <c r="C99" s="291"/>
      <c r="D99" s="291"/>
      <c r="E99" s="75">
        <f>+'Purchased Power Model'!M137</f>
        <v>2.3256632764664737E-2</v>
      </c>
      <c r="F99" s="74"/>
      <c r="G99" s="74"/>
    </row>
    <row r="100" spans="2:9" ht="15" customHeight="1" x14ac:dyDescent="0.25">
      <c r="B100" s="290" t="s">
        <v>80</v>
      </c>
      <c r="C100" s="291"/>
      <c r="D100" s="291"/>
      <c r="E100" s="79"/>
      <c r="F100" s="74"/>
      <c r="G100" s="74"/>
    </row>
    <row r="101" spans="2:9" ht="15" customHeight="1" x14ac:dyDescent="0.25">
      <c r="B101" s="92" t="e">
        <f>'Purchased Power Model'!#REF!</f>
        <v>#REF!</v>
      </c>
      <c r="C101" s="291"/>
      <c r="D101" s="291"/>
      <c r="E101" s="93">
        <f>+'Purchased Power Model'!Q94</f>
        <v>29.311016407158615</v>
      </c>
      <c r="F101" s="74"/>
      <c r="G101" s="74"/>
    </row>
    <row r="102" spans="2:9" ht="15" customHeight="1" x14ac:dyDescent="0.25">
      <c r="B102" s="92" t="e">
        <f>'Purchased Power Model'!#REF!</f>
        <v>#REF!</v>
      </c>
      <c r="C102" s="291"/>
      <c r="D102" s="291"/>
      <c r="E102" s="93">
        <f>+'Purchased Power Model'!Q95</f>
        <v>8.9119431426933264</v>
      </c>
      <c r="F102" s="74"/>
      <c r="G102" s="74"/>
    </row>
    <row r="103" spans="2:9" ht="15" customHeight="1" x14ac:dyDescent="0.25">
      <c r="B103" s="92" t="e">
        <f>'Purchased Power Model'!#REF!</f>
        <v>#REF!</v>
      </c>
      <c r="C103" s="291"/>
      <c r="D103" s="291"/>
      <c r="E103" s="93">
        <f>+'Purchased Power Model'!Q96</f>
        <v>3.8290023821111983</v>
      </c>
      <c r="F103" s="74"/>
      <c r="G103" s="74"/>
    </row>
    <row r="104" spans="2:9" ht="15" customHeight="1" x14ac:dyDescent="0.25">
      <c r="B104" s="92" t="e">
        <f>'Purchased Power Model'!#REF!</f>
        <v>#REF!</v>
      </c>
      <c r="C104" s="291"/>
      <c r="D104" s="291"/>
      <c r="E104" s="93">
        <f>+'Purchased Power Model'!Q97</f>
        <v>-5.1116558738331648</v>
      </c>
      <c r="F104" s="74"/>
      <c r="G104" s="74"/>
    </row>
    <row r="105" spans="2:9" ht="15" customHeight="1" x14ac:dyDescent="0.25">
      <c r="B105" s="92" t="s">
        <v>154</v>
      </c>
      <c r="C105" s="291"/>
      <c r="D105" s="291"/>
      <c r="E105" s="93">
        <f>+'Purchased Power Model'!Q93</f>
        <v>1.0171183736513851</v>
      </c>
    </row>
    <row r="106" spans="2:9" ht="15" customHeight="1" x14ac:dyDescent="0.25">
      <c r="B106" s="60"/>
      <c r="C106" s="60"/>
      <c r="D106" s="60"/>
    </row>
    <row r="107" spans="2:9" ht="15" customHeight="1" x14ac:dyDescent="0.25">
      <c r="B107" s="61" t="s">
        <v>248</v>
      </c>
      <c r="C107" s="61"/>
      <c r="D107" s="61"/>
      <c r="E107" s="73"/>
      <c r="F107" s="73"/>
      <c r="G107" s="73"/>
    </row>
    <row r="108" spans="2:9" ht="10.5" x14ac:dyDescent="0.25">
      <c r="B108" s="298" t="s">
        <v>65</v>
      </c>
      <c r="C108" s="296"/>
      <c r="D108" s="296"/>
      <c r="E108" s="244" t="s">
        <v>81</v>
      </c>
      <c r="F108" s="244" t="s">
        <v>82</v>
      </c>
      <c r="G108" s="244" t="s">
        <v>9</v>
      </c>
    </row>
    <row r="109" spans="2:9" ht="15" customHeight="1" x14ac:dyDescent="0.25">
      <c r="B109" s="76" t="s">
        <v>83</v>
      </c>
      <c r="C109" s="77"/>
      <c r="D109" s="77"/>
      <c r="E109" s="77"/>
      <c r="F109" s="77"/>
      <c r="G109" s="78"/>
    </row>
    <row r="110" spans="2:9" ht="15" customHeight="1" x14ac:dyDescent="0.25">
      <c r="B110" s="290">
        <v>2010</v>
      </c>
      <c r="C110" s="291"/>
      <c r="D110" s="291"/>
      <c r="E110" s="83">
        <f>'Rate Class Energy Model'!B11/1000000</f>
        <v>592.10595384615385</v>
      </c>
      <c r="F110" s="83">
        <f>'Rate Class Energy Model'!C11/1000000</f>
        <v>0</v>
      </c>
      <c r="G110" s="94">
        <f t="shared" ref="G110:G119" si="15">F110/E110-1</f>
        <v>-1</v>
      </c>
      <c r="I110" s="105"/>
    </row>
    <row r="111" spans="2:9" ht="15" customHeight="1" x14ac:dyDescent="0.25">
      <c r="B111" s="290">
        <v>2011</v>
      </c>
      <c r="C111" s="291"/>
      <c r="D111" s="291"/>
      <c r="E111" s="83">
        <f>'Rate Class Energy Model'!B12/1000000</f>
        <v>593.73860769230771</v>
      </c>
      <c r="F111" s="83">
        <f>'Rate Class Energy Model'!C12/1000000</f>
        <v>0</v>
      </c>
      <c r="G111" s="94">
        <f t="shared" si="15"/>
        <v>-1</v>
      </c>
      <c r="I111" s="105"/>
    </row>
    <row r="112" spans="2:9" ht="15" customHeight="1" x14ac:dyDescent="0.25">
      <c r="B112" s="290">
        <v>2012</v>
      </c>
      <c r="C112" s="291"/>
      <c r="D112" s="291"/>
      <c r="E112" s="83">
        <f>'Rate Class Energy Model'!B13/1000000</f>
        <v>572.61269267601392</v>
      </c>
      <c r="F112" s="83">
        <f>'Rate Class Energy Model'!C13/1000000</f>
        <v>0</v>
      </c>
      <c r="G112" s="94">
        <f t="shared" si="15"/>
        <v>-1</v>
      </c>
      <c r="I112" s="105"/>
    </row>
    <row r="113" spans="2:15" ht="15" customHeight="1" x14ac:dyDescent="0.25">
      <c r="B113" s="290">
        <v>2013</v>
      </c>
      <c r="C113" s="291"/>
      <c r="D113" s="291"/>
      <c r="E113" s="83">
        <f>'Rate Class Energy Model'!B14/1000000</f>
        <v>573.17208477666668</v>
      </c>
      <c r="F113" s="83">
        <f>'Rate Class Energy Model'!C14/1000000</f>
        <v>0</v>
      </c>
      <c r="G113" s="94">
        <f t="shared" si="15"/>
        <v>-1</v>
      </c>
      <c r="I113" s="105"/>
      <c r="J113"/>
      <c r="K113"/>
    </row>
    <row r="114" spans="2:15" ht="15" customHeight="1" x14ac:dyDescent="0.25">
      <c r="B114" s="290">
        <v>2014</v>
      </c>
      <c r="C114" s="291"/>
      <c r="D114" s="291"/>
      <c r="E114" s="83">
        <f>'Rate Class Energy Model'!B15/1000000</f>
        <v>561.1897317228204</v>
      </c>
      <c r="F114" s="83">
        <f>'Rate Class Energy Model'!C15/1000000</f>
        <v>0</v>
      </c>
      <c r="G114" s="94">
        <f t="shared" si="15"/>
        <v>-1</v>
      </c>
      <c r="I114" s="105"/>
      <c r="J114"/>
      <c r="K114"/>
    </row>
    <row r="115" spans="2:15" ht="15" customHeight="1" x14ac:dyDescent="0.25">
      <c r="B115" s="290">
        <v>2015</v>
      </c>
      <c r="C115" s="291"/>
      <c r="D115" s="291"/>
      <c r="E115" s="83">
        <f>'Rate Class Energy Model'!B16/1000000</f>
        <v>538.32319573999996</v>
      </c>
      <c r="F115" s="83">
        <f>'Rate Class Energy Model'!C16/1000000</f>
        <v>514.9034420226759</v>
      </c>
      <c r="G115" s="94">
        <f t="shared" si="15"/>
        <v>-4.3505005733833091E-2</v>
      </c>
      <c r="I115" s="105"/>
      <c r="J115"/>
      <c r="K115"/>
    </row>
    <row r="116" spans="2:15" ht="15" customHeight="1" x14ac:dyDescent="0.25">
      <c r="B116" s="290">
        <v>2016</v>
      </c>
      <c r="C116" s="291"/>
      <c r="D116" s="291"/>
      <c r="E116" s="83">
        <f>'Rate Class Energy Model'!B17/1000000</f>
        <v>508.98762424000012</v>
      </c>
      <c r="F116" s="83">
        <f>'Rate Class Energy Model'!C17/1000000</f>
        <v>513.92782656305667</v>
      </c>
      <c r="G116" s="94">
        <f t="shared" si="15"/>
        <v>9.705937998852221E-3</v>
      </c>
      <c r="I116" s="105"/>
      <c r="J116"/>
      <c r="K116"/>
    </row>
    <row r="117" spans="2:15" ht="15" customHeight="1" x14ac:dyDescent="0.25">
      <c r="B117" s="290">
        <v>2017</v>
      </c>
      <c r="C117" s="291"/>
      <c r="D117" s="291"/>
      <c r="E117" s="83">
        <f>'Rate Class Energy Model'!B18/1000000</f>
        <v>500.69833918</v>
      </c>
      <c r="F117" s="83">
        <f>'Rate Class Energy Model'!C18/1000000</f>
        <v>507.1212186863732</v>
      </c>
      <c r="G117" s="94">
        <f t="shared" si="15"/>
        <v>1.2827842642522125E-2</v>
      </c>
      <c r="I117" s="105"/>
      <c r="J117"/>
      <c r="K117"/>
    </row>
    <row r="118" spans="2:15" ht="15" customHeight="1" x14ac:dyDescent="0.25">
      <c r="B118" s="290">
        <v>2018</v>
      </c>
      <c r="C118" s="291"/>
      <c r="D118" s="291"/>
      <c r="E118" s="83">
        <f>'Rate Class Energy Model'!B19/1000000</f>
        <v>514.88956540999993</v>
      </c>
      <c r="F118" s="83">
        <f>'Rate Class Energy Model'!C19/1000000</f>
        <v>524.50832263358552</v>
      </c>
      <c r="G118" s="94">
        <f t="shared" si="15"/>
        <v>1.8681204416963304E-2</v>
      </c>
      <c r="I118" s="105"/>
      <c r="J118"/>
      <c r="K118"/>
    </row>
    <row r="119" spans="2:15" ht="15" customHeight="1" x14ac:dyDescent="0.25">
      <c r="B119" s="290">
        <v>2019</v>
      </c>
      <c r="C119" s="291"/>
      <c r="D119" s="291"/>
      <c r="E119" s="83">
        <f>'Rate Class Energy Model'!B20/1000000</f>
        <v>514.14782386999991</v>
      </c>
      <c r="F119" s="83">
        <f>'Rate Class Energy Model'!C20/1000000</f>
        <v>516.58573853430812</v>
      </c>
      <c r="G119" s="94">
        <f t="shared" si="15"/>
        <v>4.7416609603789794E-3</v>
      </c>
      <c r="I119" s="105"/>
      <c r="J119"/>
      <c r="K119"/>
    </row>
    <row r="120" spans="2:15" ht="15" customHeight="1" x14ac:dyDescent="0.25">
      <c r="B120" s="290" t="str">
        <f>B91</f>
        <v>2020 Bridge - Normalized</v>
      </c>
      <c r="C120" s="291"/>
      <c r="D120" s="291"/>
      <c r="E120" s="83"/>
      <c r="F120" s="83">
        <f>'Rate Class Energy Model'!C21/1000000</f>
        <v>513.77107057435785</v>
      </c>
      <c r="G120" s="94"/>
      <c r="I120" s="105"/>
      <c r="J120"/>
      <c r="K120"/>
    </row>
    <row r="121" spans="2:15" ht="15" customHeight="1" x14ac:dyDescent="0.25">
      <c r="B121" s="290" t="str">
        <f>B92</f>
        <v>2021 Test - Normalized</v>
      </c>
      <c r="C121" s="110"/>
      <c r="D121" s="110"/>
      <c r="E121" s="83"/>
      <c r="F121" s="83">
        <f>'Rate Class Energy Model'!C22/1000000</f>
        <v>512.91005640893786</v>
      </c>
      <c r="G121" s="94"/>
      <c r="J121"/>
      <c r="K121"/>
    </row>
    <row r="122" spans="2:15" ht="15" customHeight="1" x14ac:dyDescent="0.25">
      <c r="B122" s="301" t="s">
        <v>212</v>
      </c>
      <c r="C122" s="110"/>
      <c r="D122" s="110"/>
      <c r="E122" s="83"/>
      <c r="F122" s="83">
        <f>+'Purchased Power Model'!H205/1000000</f>
        <v>513.27307621186606</v>
      </c>
      <c r="G122" s="94"/>
      <c r="J122"/>
      <c r="K122"/>
    </row>
    <row r="123" spans="2:15" ht="15" customHeight="1" x14ac:dyDescent="0.25">
      <c r="B123" s="60"/>
      <c r="C123" s="60"/>
      <c r="D123" s="60"/>
    </row>
    <row r="124" spans="2:15" ht="15" customHeight="1" x14ac:dyDescent="0.25">
      <c r="B124" s="60"/>
      <c r="C124" s="60"/>
      <c r="D124" s="60"/>
    </row>
    <row r="125" spans="2:15" ht="15" customHeight="1" x14ac:dyDescent="0.25">
      <c r="B125" s="403" t="s">
        <v>249</v>
      </c>
      <c r="C125" s="61"/>
      <c r="D125" s="61"/>
      <c r="E125" s="73"/>
      <c r="F125" s="73"/>
      <c r="G125" s="73"/>
      <c r="H125" s="73"/>
      <c r="I125" s="73"/>
      <c r="J125" s="73"/>
    </row>
    <row r="126" spans="2:15" ht="31.5" x14ac:dyDescent="0.25">
      <c r="B126" s="298" t="s">
        <v>65</v>
      </c>
      <c r="C126" s="296"/>
      <c r="D126" s="296"/>
      <c r="E126" s="244" t="str">
        <f t="shared" ref="E126:K126" si="16">E59</f>
        <v xml:space="preserve">Residential </v>
      </c>
      <c r="F126" s="244" t="str">
        <f t="shared" si="16"/>
        <v>General Service &lt; 50 kW</v>
      </c>
      <c r="G126" s="244" t="str">
        <f t="shared" si="16"/>
        <v>General Service 50 to 2999 kW</v>
      </c>
      <c r="H126" s="244" t="str">
        <f t="shared" si="16"/>
        <v>General Service 3000 to 4999 kW</v>
      </c>
      <c r="I126" s="244" t="str">
        <f t="shared" si="16"/>
        <v>Street Lighting</v>
      </c>
      <c r="J126" s="244" t="str">
        <f t="shared" si="16"/>
        <v>Sentinel Lighting</v>
      </c>
      <c r="K126" s="244" t="str">
        <f t="shared" si="16"/>
        <v xml:space="preserve">Unmetered Scattered Load </v>
      </c>
      <c r="L126" s="244" t="s">
        <v>10</v>
      </c>
    </row>
    <row r="127" spans="2:15" ht="15" customHeight="1" x14ac:dyDescent="0.25">
      <c r="B127" s="99" t="s">
        <v>74</v>
      </c>
      <c r="C127" s="100"/>
      <c r="D127" s="100"/>
      <c r="E127" s="100"/>
      <c r="F127" s="100"/>
      <c r="G127" s="100"/>
      <c r="H127" s="100"/>
      <c r="I127" s="100"/>
      <c r="J127" s="100"/>
      <c r="K127" s="100"/>
      <c r="L127" s="101"/>
    </row>
    <row r="128" spans="2:15" ht="15" customHeight="1" x14ac:dyDescent="0.25">
      <c r="B128" s="290">
        <f t="shared" ref="B128:B137" si="17">B110</f>
        <v>2010</v>
      </c>
      <c r="C128" s="291"/>
      <c r="D128" s="291"/>
      <c r="E128" s="108">
        <f>'Rate Class Customer Model'!B14</f>
        <v>20952</v>
      </c>
      <c r="F128" s="108">
        <f>'Rate Class Customer Model'!C14</f>
        <v>2633</v>
      </c>
      <c r="G128" s="108">
        <f>'Rate Class Customer Model'!D14</f>
        <v>269</v>
      </c>
      <c r="H128" s="108">
        <f>'Rate Class Customer Model'!E14</f>
        <v>2</v>
      </c>
      <c r="I128" s="108">
        <f>'Rate Class Customer Model'!F14</f>
        <v>5572</v>
      </c>
      <c r="J128" s="108">
        <f>'Rate Class Customer Model'!G14</f>
        <v>509</v>
      </c>
      <c r="K128" s="108">
        <f>'Rate Class Customer Model'!H14</f>
        <v>19</v>
      </c>
      <c r="L128" s="64">
        <f t="shared" ref="L128:L131" si="18">SUM(E128:K128)</f>
        <v>29956</v>
      </c>
      <c r="M128" s="65"/>
      <c r="N128" s="65"/>
      <c r="O128" s="65"/>
    </row>
    <row r="129" spans="2:25" ht="15" customHeight="1" x14ac:dyDescent="0.25">
      <c r="B129" s="290">
        <f t="shared" si="17"/>
        <v>2011</v>
      </c>
      <c r="C129" s="291"/>
      <c r="D129" s="291"/>
      <c r="E129" s="108">
        <f>'Rate Class Customer Model'!B15</f>
        <v>21096</v>
      </c>
      <c r="F129" s="108">
        <f>'Rate Class Customer Model'!C15</f>
        <v>2623</v>
      </c>
      <c r="G129" s="108">
        <f>'Rate Class Customer Model'!D15</f>
        <v>268</v>
      </c>
      <c r="H129" s="108">
        <f>'Rate Class Customer Model'!E15</f>
        <v>2</v>
      </c>
      <c r="I129" s="108">
        <f>'Rate Class Customer Model'!F15</f>
        <v>5574</v>
      </c>
      <c r="J129" s="108">
        <f>'Rate Class Customer Model'!G15</f>
        <v>474</v>
      </c>
      <c r="K129" s="108">
        <f>'Rate Class Customer Model'!H15</f>
        <v>18</v>
      </c>
      <c r="L129" s="64">
        <f t="shared" si="18"/>
        <v>30055</v>
      </c>
      <c r="M129" s="65"/>
      <c r="N129" s="65"/>
      <c r="O129" s="65"/>
    </row>
    <row r="130" spans="2:25" ht="15" customHeight="1" x14ac:dyDescent="0.25">
      <c r="B130" s="290">
        <f t="shared" si="17"/>
        <v>2012</v>
      </c>
      <c r="C130" s="291"/>
      <c r="D130" s="291"/>
      <c r="E130" s="108">
        <f>'Rate Class Customer Model'!B16</f>
        <v>21074</v>
      </c>
      <c r="F130" s="108">
        <f>'Rate Class Customer Model'!C16</f>
        <v>2645</v>
      </c>
      <c r="G130" s="108">
        <f>'Rate Class Customer Model'!D16</f>
        <v>254</v>
      </c>
      <c r="H130" s="108">
        <f>'Rate Class Customer Model'!E16</f>
        <v>2</v>
      </c>
      <c r="I130" s="108">
        <f>'Rate Class Customer Model'!F16</f>
        <v>5574</v>
      </c>
      <c r="J130" s="108">
        <f>'Rate Class Customer Model'!G16</f>
        <v>447</v>
      </c>
      <c r="K130" s="108">
        <f>'Rate Class Customer Model'!H16</f>
        <v>17</v>
      </c>
      <c r="L130" s="64">
        <f t="shared" si="18"/>
        <v>30013</v>
      </c>
      <c r="M130" s="65"/>
      <c r="N130" s="65"/>
      <c r="O130" s="65"/>
    </row>
    <row r="131" spans="2:25" ht="15" customHeight="1" x14ac:dyDescent="0.25">
      <c r="B131" s="290">
        <f t="shared" si="17"/>
        <v>2013</v>
      </c>
      <c r="C131" s="291"/>
      <c r="D131" s="291"/>
      <c r="E131" s="108">
        <f>'Rate Class Customer Model'!B17</f>
        <v>21108</v>
      </c>
      <c r="F131" s="108">
        <f>'Rate Class Customer Model'!C17</f>
        <v>2649</v>
      </c>
      <c r="G131" s="108">
        <f>'Rate Class Customer Model'!D17</f>
        <v>255</v>
      </c>
      <c r="H131" s="108">
        <f>'Rate Class Customer Model'!E17</f>
        <v>2</v>
      </c>
      <c r="I131" s="108">
        <f>'Rate Class Customer Model'!F17</f>
        <v>5574</v>
      </c>
      <c r="J131" s="108">
        <f>'Rate Class Customer Model'!G17</f>
        <v>427</v>
      </c>
      <c r="K131" s="108">
        <f>'Rate Class Customer Model'!H17</f>
        <v>15</v>
      </c>
      <c r="L131" s="64">
        <f t="shared" si="18"/>
        <v>30030</v>
      </c>
      <c r="M131" s="65"/>
      <c r="N131" s="65"/>
      <c r="O131" s="65"/>
    </row>
    <row r="132" spans="2:25" ht="15" customHeight="1" x14ac:dyDescent="0.25">
      <c r="B132" s="290">
        <f t="shared" si="17"/>
        <v>2014</v>
      </c>
      <c r="C132" s="291"/>
      <c r="D132" s="291"/>
      <c r="E132" s="108">
        <f>'Rate Class Customer Model'!B18</f>
        <v>21117</v>
      </c>
      <c r="F132" s="108">
        <f>'Rate Class Customer Model'!C18</f>
        <v>2657</v>
      </c>
      <c r="G132" s="108">
        <f>'Rate Class Customer Model'!D18</f>
        <v>252</v>
      </c>
      <c r="H132" s="108">
        <f>'Rate Class Customer Model'!E18</f>
        <v>2</v>
      </c>
      <c r="I132" s="108">
        <f>'Rate Class Customer Model'!F18</f>
        <v>5419</v>
      </c>
      <c r="J132" s="108">
        <f>'Rate Class Customer Model'!G18</f>
        <v>427</v>
      </c>
      <c r="K132" s="108">
        <f>'Rate Class Customer Model'!H18</f>
        <v>11</v>
      </c>
      <c r="L132" s="64">
        <f t="shared" ref="L132:L137" si="19">SUM(E132:K132)</f>
        <v>29885</v>
      </c>
      <c r="M132" s="65"/>
      <c r="N132" s="65"/>
      <c r="O132" s="65"/>
    </row>
    <row r="133" spans="2:25" ht="15" customHeight="1" x14ac:dyDescent="0.25">
      <c r="B133" s="290">
        <f t="shared" si="17"/>
        <v>2015</v>
      </c>
      <c r="C133" s="291"/>
      <c r="D133" s="291"/>
      <c r="E133" s="108">
        <f>'Rate Class Customer Model'!B19</f>
        <v>21122</v>
      </c>
      <c r="F133" s="108">
        <f>'Rate Class Customer Model'!C19</f>
        <v>2646</v>
      </c>
      <c r="G133" s="108">
        <f>'Rate Class Customer Model'!D19</f>
        <v>254</v>
      </c>
      <c r="H133" s="108">
        <f>'Rate Class Customer Model'!E19</f>
        <v>1</v>
      </c>
      <c r="I133" s="108">
        <f>'Rate Class Customer Model'!F19</f>
        <v>5422</v>
      </c>
      <c r="J133" s="108">
        <f>'Rate Class Customer Model'!G19</f>
        <v>402</v>
      </c>
      <c r="K133" s="108">
        <f>'Rate Class Customer Model'!H19</f>
        <v>10</v>
      </c>
      <c r="L133" s="64">
        <f t="shared" si="19"/>
        <v>29857</v>
      </c>
      <c r="M133" s="65"/>
      <c r="N133" s="65"/>
      <c r="O133" s="65"/>
    </row>
    <row r="134" spans="2:25" ht="15" customHeight="1" x14ac:dyDescent="0.25">
      <c r="B134" s="290">
        <f t="shared" si="17"/>
        <v>2016</v>
      </c>
      <c r="C134" s="291"/>
      <c r="D134" s="291"/>
      <c r="E134" s="108">
        <f>'Rate Class Customer Model'!B20</f>
        <v>21173</v>
      </c>
      <c r="F134" s="108">
        <f>'Rate Class Customer Model'!C20</f>
        <v>2659</v>
      </c>
      <c r="G134" s="108">
        <f>'Rate Class Customer Model'!D20</f>
        <v>253</v>
      </c>
      <c r="H134" s="108">
        <f>'Rate Class Customer Model'!E20</f>
        <v>1</v>
      </c>
      <c r="I134" s="108">
        <f>'Rate Class Customer Model'!F20</f>
        <v>5424</v>
      </c>
      <c r="J134" s="108">
        <f>'Rate Class Customer Model'!G20</f>
        <v>444</v>
      </c>
      <c r="K134" s="108">
        <f>'Rate Class Customer Model'!H20</f>
        <v>10</v>
      </c>
      <c r="L134" s="64">
        <f t="shared" si="19"/>
        <v>29964</v>
      </c>
      <c r="M134" s="65"/>
      <c r="N134" s="65"/>
      <c r="O134" s="65"/>
    </row>
    <row r="135" spans="2:25" ht="15" customHeight="1" x14ac:dyDescent="0.25">
      <c r="B135" s="290">
        <f t="shared" si="17"/>
        <v>2017</v>
      </c>
      <c r="C135" s="291"/>
      <c r="D135" s="291"/>
      <c r="E135" s="108">
        <f>'Rate Class Customer Model'!B21</f>
        <v>21192</v>
      </c>
      <c r="F135" s="108">
        <f>'Rate Class Customer Model'!C21</f>
        <v>2653</v>
      </c>
      <c r="G135" s="108">
        <f>'Rate Class Customer Model'!D21</f>
        <v>261</v>
      </c>
      <c r="H135" s="108">
        <f>'Rate Class Customer Model'!E21</f>
        <v>1</v>
      </c>
      <c r="I135" s="108">
        <f>'Rate Class Customer Model'!F21</f>
        <v>5424</v>
      </c>
      <c r="J135" s="108">
        <f>'Rate Class Customer Model'!G21</f>
        <v>436</v>
      </c>
      <c r="K135" s="108">
        <f>'Rate Class Customer Model'!H21</f>
        <v>10</v>
      </c>
      <c r="L135" s="64">
        <f t="shared" si="19"/>
        <v>29977</v>
      </c>
      <c r="M135" s="65"/>
      <c r="N135" s="65"/>
      <c r="O135" s="65"/>
    </row>
    <row r="136" spans="2:25" ht="15" customHeight="1" x14ac:dyDescent="0.25">
      <c r="B136" s="290">
        <f t="shared" si="17"/>
        <v>2018</v>
      </c>
      <c r="C136" s="291"/>
      <c r="D136" s="291"/>
      <c r="E136" s="108">
        <f>'Rate Class Customer Model'!B22</f>
        <v>21229</v>
      </c>
      <c r="F136" s="108">
        <f>'Rate Class Customer Model'!C22</f>
        <v>2654</v>
      </c>
      <c r="G136" s="108">
        <f>'Rate Class Customer Model'!D22</f>
        <v>258</v>
      </c>
      <c r="H136" s="108">
        <f>'Rate Class Customer Model'!E22</f>
        <v>1</v>
      </c>
      <c r="I136" s="108">
        <f>'Rate Class Customer Model'!F22</f>
        <v>5424</v>
      </c>
      <c r="J136" s="108">
        <f>'Rate Class Customer Model'!G22</f>
        <v>425</v>
      </c>
      <c r="K136" s="108">
        <f>'Rate Class Customer Model'!H22</f>
        <v>10</v>
      </c>
      <c r="L136" s="64">
        <f t="shared" si="19"/>
        <v>30001</v>
      </c>
      <c r="M136" s="65"/>
      <c r="N136" s="65"/>
      <c r="O136" s="65"/>
    </row>
    <row r="137" spans="2:25" ht="15" customHeight="1" x14ac:dyDescent="0.25">
      <c r="B137" s="290">
        <f t="shared" si="17"/>
        <v>2019</v>
      </c>
      <c r="C137" s="291"/>
      <c r="D137" s="291"/>
      <c r="E137" s="108">
        <f>'Rate Class Customer Model'!B23</f>
        <v>21280</v>
      </c>
      <c r="F137" s="108">
        <f>'Rate Class Customer Model'!C23</f>
        <v>2653</v>
      </c>
      <c r="G137" s="108">
        <f>'Rate Class Customer Model'!D23</f>
        <v>263</v>
      </c>
      <c r="H137" s="108">
        <f>'Rate Class Customer Model'!E23</f>
        <v>1</v>
      </c>
      <c r="I137" s="108">
        <f>'Rate Class Customer Model'!F23</f>
        <v>5424</v>
      </c>
      <c r="J137" s="108">
        <f>'Rate Class Customer Model'!G23</f>
        <v>417</v>
      </c>
      <c r="K137" s="108">
        <f>'Rate Class Customer Model'!H23</f>
        <v>9</v>
      </c>
      <c r="L137" s="64">
        <f t="shared" si="19"/>
        <v>30047</v>
      </c>
      <c r="M137" s="65"/>
      <c r="N137" s="65"/>
      <c r="O137" s="65"/>
    </row>
    <row r="138" spans="2:25" ht="15" customHeight="1" x14ac:dyDescent="0.25">
      <c r="B138" s="60"/>
      <c r="C138" s="60"/>
      <c r="D138" s="60"/>
    </row>
    <row r="139" spans="2:25" ht="15" customHeight="1" x14ac:dyDescent="0.25">
      <c r="B139" s="403" t="s">
        <v>250</v>
      </c>
      <c r="C139" s="61"/>
      <c r="D139" s="61"/>
      <c r="E139" s="73"/>
      <c r="F139" s="73"/>
      <c r="G139" s="73"/>
      <c r="H139" s="73"/>
      <c r="I139" s="73"/>
      <c r="J139" s="73"/>
    </row>
    <row r="140" spans="2:25" ht="31.5" x14ac:dyDescent="0.25">
      <c r="B140" s="298" t="s">
        <v>65</v>
      </c>
      <c r="C140" s="296"/>
      <c r="D140" s="296"/>
      <c r="E140" s="244" t="str">
        <f t="shared" ref="E140:K140" si="20">E126</f>
        <v xml:space="preserve">Residential </v>
      </c>
      <c r="F140" s="244" t="str">
        <f t="shared" si="20"/>
        <v>General Service &lt; 50 kW</v>
      </c>
      <c r="G140" s="244" t="str">
        <f t="shared" si="20"/>
        <v>General Service 50 to 2999 kW</v>
      </c>
      <c r="H140" s="244" t="str">
        <f t="shared" si="20"/>
        <v>General Service 3000 to 4999 kW</v>
      </c>
      <c r="I140" s="244" t="str">
        <f t="shared" si="20"/>
        <v>Street Lighting</v>
      </c>
      <c r="J140" s="244" t="str">
        <f t="shared" si="20"/>
        <v>Sentinel Lighting</v>
      </c>
      <c r="K140" s="244" t="str">
        <f t="shared" si="20"/>
        <v xml:space="preserve">Unmetered Scattered Load </v>
      </c>
      <c r="Y140" s="65"/>
    </row>
    <row r="141" spans="2:25" ht="15" customHeight="1" x14ac:dyDescent="0.25">
      <c r="B141" s="99" t="s">
        <v>84</v>
      </c>
      <c r="C141" s="100"/>
      <c r="D141" s="100"/>
      <c r="E141" s="100"/>
      <c r="F141" s="100"/>
      <c r="G141" s="100"/>
      <c r="H141" s="100"/>
      <c r="I141" s="100"/>
      <c r="J141" s="100"/>
      <c r="K141" s="101"/>
      <c r="Y141" s="65"/>
    </row>
    <row r="142" spans="2:25" ht="15" customHeight="1" x14ac:dyDescent="0.25">
      <c r="B142" s="290">
        <f t="shared" ref="B142:B151" si="21">B128</f>
        <v>2010</v>
      </c>
      <c r="C142" s="291"/>
      <c r="D142" s="291"/>
      <c r="E142" s="96"/>
      <c r="F142" s="96"/>
      <c r="G142" s="96"/>
      <c r="H142" s="96"/>
      <c r="I142" s="96"/>
      <c r="J142" s="96"/>
      <c r="K142" s="96"/>
    </row>
    <row r="143" spans="2:25" ht="15" customHeight="1" x14ac:dyDescent="0.25">
      <c r="B143" s="290">
        <f t="shared" si="21"/>
        <v>2011</v>
      </c>
      <c r="C143" s="291"/>
      <c r="D143" s="291"/>
      <c r="E143" s="96">
        <f t="shared" ref="E143:K151" si="22">E129/E128-1</f>
        <v>6.8728522336769515E-3</v>
      </c>
      <c r="F143" s="96">
        <f t="shared" si="22"/>
        <v>-3.7979491074819904E-3</v>
      </c>
      <c r="G143" s="96">
        <f t="shared" si="22"/>
        <v>-3.7174721189591198E-3</v>
      </c>
      <c r="H143" s="96">
        <f t="shared" si="22"/>
        <v>0</v>
      </c>
      <c r="I143" s="96">
        <f t="shared" si="22"/>
        <v>3.5893754486715501E-4</v>
      </c>
      <c r="J143" s="96">
        <f t="shared" si="22"/>
        <v>-6.8762278978389046E-2</v>
      </c>
      <c r="K143" s="96">
        <f t="shared" si="22"/>
        <v>-5.2631578947368474E-2</v>
      </c>
    </row>
    <row r="144" spans="2:25" ht="15" customHeight="1" x14ac:dyDescent="0.25">
      <c r="B144" s="290">
        <f t="shared" si="21"/>
        <v>2012</v>
      </c>
      <c r="C144" s="291"/>
      <c r="D144" s="291"/>
      <c r="E144" s="96">
        <f t="shared" si="22"/>
        <v>-1.0428517254456038E-3</v>
      </c>
      <c r="F144" s="96">
        <f t="shared" si="22"/>
        <v>8.3873427373237774E-3</v>
      </c>
      <c r="G144" s="96">
        <f t="shared" si="22"/>
        <v>-5.2238805970149294E-2</v>
      </c>
      <c r="H144" s="96">
        <f t="shared" si="22"/>
        <v>0</v>
      </c>
      <c r="I144" s="96">
        <f t="shared" si="22"/>
        <v>0</v>
      </c>
      <c r="J144" s="96">
        <f t="shared" si="22"/>
        <v>-5.6962025316455667E-2</v>
      </c>
      <c r="K144" s="96">
        <f t="shared" si="22"/>
        <v>-5.555555555555558E-2</v>
      </c>
    </row>
    <row r="145" spans="2:14" ht="15" customHeight="1" x14ac:dyDescent="0.25">
      <c r="B145" s="290">
        <f t="shared" si="21"/>
        <v>2013</v>
      </c>
      <c r="C145" s="291"/>
      <c r="D145" s="291"/>
      <c r="E145" s="96">
        <f t="shared" si="22"/>
        <v>1.6133624371263977E-3</v>
      </c>
      <c r="F145" s="96">
        <f t="shared" si="22"/>
        <v>1.5122873345936316E-3</v>
      </c>
      <c r="G145" s="96">
        <f t="shared" si="22"/>
        <v>3.937007874015741E-3</v>
      </c>
      <c r="H145" s="96">
        <f t="shared" si="22"/>
        <v>0</v>
      </c>
      <c r="I145" s="96">
        <f t="shared" si="22"/>
        <v>0</v>
      </c>
      <c r="J145" s="96">
        <f t="shared" si="22"/>
        <v>-4.4742729306487705E-2</v>
      </c>
      <c r="K145" s="96">
        <f t="shared" si="22"/>
        <v>-0.11764705882352944</v>
      </c>
    </row>
    <row r="146" spans="2:14" ht="15" customHeight="1" x14ac:dyDescent="0.25">
      <c r="B146" s="290">
        <f t="shared" si="21"/>
        <v>2014</v>
      </c>
      <c r="C146" s="291"/>
      <c r="D146" s="291"/>
      <c r="E146" s="96">
        <f t="shared" si="22"/>
        <v>4.2637862421823769E-4</v>
      </c>
      <c r="F146" s="96">
        <f t="shared" si="22"/>
        <v>3.020007550018855E-3</v>
      </c>
      <c r="G146" s="96">
        <f t="shared" si="22"/>
        <v>-1.1764705882352899E-2</v>
      </c>
      <c r="H146" s="96">
        <f t="shared" si="22"/>
        <v>0</v>
      </c>
      <c r="I146" s="96">
        <f t="shared" si="22"/>
        <v>-2.7807678507355549E-2</v>
      </c>
      <c r="J146" s="96">
        <f t="shared" si="22"/>
        <v>0</v>
      </c>
      <c r="K146" s="96">
        <f t="shared" si="22"/>
        <v>-0.26666666666666672</v>
      </c>
    </row>
    <row r="147" spans="2:14" ht="15" customHeight="1" x14ac:dyDescent="0.25">
      <c r="B147" s="290">
        <f t="shared" si="21"/>
        <v>2015</v>
      </c>
      <c r="C147" s="291"/>
      <c r="D147" s="291"/>
      <c r="E147" s="96">
        <f t="shared" si="22"/>
        <v>2.3677605720506811E-4</v>
      </c>
      <c r="F147" s="96">
        <f t="shared" si="22"/>
        <v>-4.1400075272863823E-3</v>
      </c>
      <c r="G147" s="96">
        <f t="shared" si="22"/>
        <v>7.9365079365079083E-3</v>
      </c>
      <c r="H147" s="96">
        <f t="shared" si="22"/>
        <v>-0.5</v>
      </c>
      <c r="I147" s="96">
        <f t="shared" si="22"/>
        <v>5.5360767669321298E-4</v>
      </c>
      <c r="J147" s="96">
        <f t="shared" si="22"/>
        <v>-5.8548009367681453E-2</v>
      </c>
      <c r="K147" s="96">
        <f t="shared" si="22"/>
        <v>-9.0909090909090939E-2</v>
      </c>
    </row>
    <row r="148" spans="2:14" ht="15" customHeight="1" x14ac:dyDescent="0.25">
      <c r="B148" s="290">
        <f t="shared" si="21"/>
        <v>2016</v>
      </c>
      <c r="C148" s="291"/>
      <c r="D148" s="291"/>
      <c r="E148" s="96">
        <f t="shared" si="22"/>
        <v>2.4145440772653792E-3</v>
      </c>
      <c r="F148" s="96">
        <f t="shared" si="22"/>
        <v>4.9130763416478374E-3</v>
      </c>
      <c r="G148" s="96">
        <f t="shared" si="22"/>
        <v>-3.937007874015741E-3</v>
      </c>
      <c r="H148" s="96">
        <f t="shared" si="22"/>
        <v>0</v>
      </c>
      <c r="I148" s="96">
        <f t="shared" si="22"/>
        <v>3.6886757654008839E-4</v>
      </c>
      <c r="J148" s="96">
        <f t="shared" si="22"/>
        <v>0.10447761194029859</v>
      </c>
      <c r="K148" s="96">
        <f t="shared" si="22"/>
        <v>0</v>
      </c>
    </row>
    <row r="149" spans="2:14" ht="15" customHeight="1" x14ac:dyDescent="0.25">
      <c r="B149" s="290">
        <f t="shared" si="21"/>
        <v>2017</v>
      </c>
      <c r="C149" s="291"/>
      <c r="D149" s="291"/>
      <c r="E149" s="96">
        <f t="shared" si="22"/>
        <v>8.9736929107830932E-4</v>
      </c>
      <c r="F149" s="96">
        <f t="shared" si="22"/>
        <v>-2.2564874012787062E-3</v>
      </c>
      <c r="G149" s="96">
        <f t="shared" si="22"/>
        <v>3.1620553359683834E-2</v>
      </c>
      <c r="H149" s="96">
        <f t="shared" si="22"/>
        <v>0</v>
      </c>
      <c r="I149" s="96">
        <f t="shared" si="22"/>
        <v>0</v>
      </c>
      <c r="J149" s="96">
        <f t="shared" si="22"/>
        <v>-1.8018018018018056E-2</v>
      </c>
      <c r="K149" s="96">
        <f t="shared" si="22"/>
        <v>0</v>
      </c>
    </row>
    <row r="150" spans="2:14" ht="15" customHeight="1" x14ac:dyDescent="0.25">
      <c r="B150" s="290">
        <f t="shared" si="21"/>
        <v>2018</v>
      </c>
      <c r="C150" s="291"/>
      <c r="D150" s="291"/>
      <c r="E150" s="96">
        <f t="shared" si="22"/>
        <v>1.745941864854661E-3</v>
      </c>
      <c r="F150" s="96">
        <f t="shared" si="22"/>
        <v>3.7693177534858791E-4</v>
      </c>
      <c r="G150" s="96">
        <f t="shared" si="22"/>
        <v>-1.1494252873563204E-2</v>
      </c>
      <c r="H150" s="96">
        <f t="shared" si="22"/>
        <v>0</v>
      </c>
      <c r="I150" s="96">
        <f t="shared" si="22"/>
        <v>0</v>
      </c>
      <c r="J150" s="96">
        <f t="shared" si="22"/>
        <v>-2.5229357798165153E-2</v>
      </c>
      <c r="K150" s="96">
        <f t="shared" si="22"/>
        <v>0</v>
      </c>
    </row>
    <row r="151" spans="2:14" ht="15" customHeight="1" x14ac:dyDescent="0.25">
      <c r="B151" s="290">
        <f t="shared" si="21"/>
        <v>2019</v>
      </c>
      <c r="C151" s="291"/>
      <c r="D151" s="291"/>
      <c r="E151" s="96">
        <f t="shared" si="22"/>
        <v>2.402374110886063E-3</v>
      </c>
      <c r="F151" s="96">
        <f t="shared" si="22"/>
        <v>-3.7678975131871795E-4</v>
      </c>
      <c r="G151" s="96">
        <f t="shared" si="22"/>
        <v>1.9379844961240345E-2</v>
      </c>
      <c r="H151" s="96">
        <f t="shared" si="22"/>
        <v>0</v>
      </c>
      <c r="I151" s="96">
        <f t="shared" si="22"/>
        <v>0</v>
      </c>
      <c r="J151" s="96">
        <f t="shared" si="22"/>
        <v>-1.8823529411764683E-2</v>
      </c>
      <c r="K151" s="96">
        <f t="shared" si="22"/>
        <v>-9.9999999999999978E-2</v>
      </c>
    </row>
    <row r="152" spans="2:14" ht="15" customHeight="1" x14ac:dyDescent="0.25">
      <c r="B152" s="290" t="s">
        <v>197</v>
      </c>
      <c r="C152" s="291"/>
      <c r="D152" s="291"/>
      <c r="E152" s="214">
        <f>'Rate Class Customer Model'!B52-1</f>
        <v>1.6817056167395261E-3</v>
      </c>
      <c r="F152" s="96">
        <f>'Rate Class Customer Model'!C52-1</f>
        <v>-7.5272892576294659E-4</v>
      </c>
      <c r="G152" s="96">
        <f>'Rate Class Customer Model'!D52-1</f>
        <v>1.3005357990857558E-2</v>
      </c>
      <c r="H152" s="96">
        <f>'Rate Class Customer Model'!E52-1</f>
        <v>0</v>
      </c>
      <c r="I152" s="96">
        <f>'Rate Class Customer Model'!F52-1</f>
        <v>0</v>
      </c>
      <c r="J152" s="96">
        <f>'Rate Class Customer Model'!G52-1</f>
        <v>-2.0695624434493687E-2</v>
      </c>
      <c r="K152" s="96">
        <f>'Rate Class Customer Model'!H52-1</f>
        <v>0</v>
      </c>
    </row>
    <row r="153" spans="2:14" ht="15" customHeight="1" x14ac:dyDescent="0.25">
      <c r="B153" s="60"/>
      <c r="C153" s="60"/>
      <c r="D153" s="60"/>
      <c r="E153" s="213"/>
      <c r="F153" s="213"/>
      <c r="G153" s="213"/>
      <c r="H153" s="213"/>
      <c r="I153" s="213"/>
      <c r="J153" s="213"/>
      <c r="K153" s="213"/>
    </row>
    <row r="154" spans="2:14" ht="15" customHeight="1" x14ac:dyDescent="0.25">
      <c r="B154" s="403" t="s">
        <v>251</v>
      </c>
      <c r="C154" s="61"/>
      <c r="D154" s="61"/>
      <c r="E154" s="73"/>
      <c r="F154" s="73"/>
      <c r="G154" s="73"/>
      <c r="H154" s="73"/>
      <c r="I154" s="73"/>
    </row>
    <row r="155" spans="2:14" ht="31.5" x14ac:dyDescent="0.25">
      <c r="B155" s="420" t="s">
        <v>65</v>
      </c>
      <c r="C155" s="421"/>
      <c r="D155" s="422"/>
      <c r="E155" s="244" t="str">
        <f t="shared" ref="E155:K155" si="23">E140</f>
        <v xml:space="preserve">Residential </v>
      </c>
      <c r="F155" s="244" t="str">
        <f t="shared" si="23"/>
        <v>General Service &lt; 50 kW</v>
      </c>
      <c r="G155" s="244" t="str">
        <f t="shared" si="23"/>
        <v>General Service 50 to 2999 kW</v>
      </c>
      <c r="H155" s="244" t="str">
        <f t="shared" si="23"/>
        <v>General Service 3000 to 4999 kW</v>
      </c>
      <c r="I155" s="244" t="str">
        <f t="shared" si="23"/>
        <v>Street Lighting</v>
      </c>
      <c r="J155" s="244" t="str">
        <f t="shared" si="23"/>
        <v>Sentinel Lighting</v>
      </c>
      <c r="K155" s="244" t="str">
        <f t="shared" si="23"/>
        <v xml:space="preserve">Unmetered Scattered Load </v>
      </c>
      <c r="L155" s="244" t="s">
        <v>10</v>
      </c>
    </row>
    <row r="156" spans="2:14" ht="10.5" x14ac:dyDescent="0.25">
      <c r="B156" s="76" t="s">
        <v>85</v>
      </c>
      <c r="C156" s="76"/>
      <c r="D156" s="77"/>
      <c r="E156" s="77"/>
      <c r="F156" s="77"/>
      <c r="G156" s="77"/>
      <c r="H156" s="77"/>
      <c r="I156" s="77"/>
      <c r="J156" s="78"/>
      <c r="K156" s="66"/>
      <c r="L156" s="109"/>
    </row>
    <row r="157" spans="2:14" ht="10.5" x14ac:dyDescent="0.25">
      <c r="B157" s="290">
        <v>2020</v>
      </c>
      <c r="C157" s="77"/>
      <c r="D157" s="77"/>
      <c r="E157" s="80">
        <f t="shared" ref="E157:K157" si="24">ROUND(E137*(1+E152),0)</f>
        <v>21316</v>
      </c>
      <c r="F157" s="80">
        <f t="shared" si="24"/>
        <v>2651</v>
      </c>
      <c r="G157" s="80">
        <f t="shared" si="24"/>
        <v>266</v>
      </c>
      <c r="H157" s="80">
        <f t="shared" si="24"/>
        <v>1</v>
      </c>
      <c r="I157" s="80">
        <f t="shared" si="24"/>
        <v>5424</v>
      </c>
      <c r="J157" s="80">
        <f t="shared" si="24"/>
        <v>408</v>
      </c>
      <c r="K157" s="80">
        <f t="shared" si="24"/>
        <v>9</v>
      </c>
      <c r="L157" s="64">
        <f>SUM(E157:K157)</f>
        <v>30075</v>
      </c>
    </row>
    <row r="158" spans="2:14" ht="10" x14ac:dyDescent="0.25">
      <c r="B158" s="414">
        <v>2021</v>
      </c>
      <c r="C158" s="415"/>
      <c r="D158" s="416"/>
      <c r="E158" s="80">
        <f t="shared" ref="E158:K158" si="25">ROUND(E157*(1+E152),0)</f>
        <v>21352</v>
      </c>
      <c r="F158" s="80">
        <f t="shared" si="25"/>
        <v>2649</v>
      </c>
      <c r="G158" s="80">
        <f t="shared" si="25"/>
        <v>269</v>
      </c>
      <c r="H158" s="80">
        <f t="shared" si="25"/>
        <v>1</v>
      </c>
      <c r="I158" s="80">
        <f t="shared" si="25"/>
        <v>5424</v>
      </c>
      <c r="J158" s="80">
        <f t="shared" si="25"/>
        <v>400</v>
      </c>
      <c r="K158" s="80">
        <f t="shared" si="25"/>
        <v>9</v>
      </c>
      <c r="L158" s="64">
        <f>SUM(E158:K158)</f>
        <v>30104</v>
      </c>
      <c r="N158" s="65"/>
    </row>
    <row r="159" spans="2:14" ht="15" customHeight="1" x14ac:dyDescent="0.25">
      <c r="B159" s="60"/>
      <c r="C159" s="60"/>
      <c r="D159" s="60"/>
    </row>
    <row r="160" spans="2:14" ht="15" customHeight="1" x14ac:dyDescent="0.25">
      <c r="B160" s="403" t="s">
        <v>252</v>
      </c>
      <c r="C160" s="61"/>
      <c r="D160" s="61"/>
      <c r="E160" s="73"/>
      <c r="F160" s="73"/>
      <c r="G160" s="73"/>
      <c r="H160" s="73"/>
      <c r="I160" s="73"/>
      <c r="J160" s="73"/>
    </row>
    <row r="161" spans="2:12" ht="31.5" x14ac:dyDescent="0.25">
      <c r="B161" s="298" t="s">
        <v>65</v>
      </c>
      <c r="C161" s="296"/>
      <c r="D161" s="296"/>
      <c r="E161" s="244" t="str">
        <f t="shared" ref="E161:K161" si="26">E155</f>
        <v xml:space="preserve">Residential </v>
      </c>
      <c r="F161" s="244" t="str">
        <f t="shared" si="26"/>
        <v>General Service &lt; 50 kW</v>
      </c>
      <c r="G161" s="244" t="str">
        <f t="shared" si="26"/>
        <v>General Service 50 to 2999 kW</v>
      </c>
      <c r="H161" s="244" t="str">
        <f t="shared" si="26"/>
        <v>General Service 3000 to 4999 kW</v>
      </c>
      <c r="I161" s="244" t="str">
        <f t="shared" si="26"/>
        <v>Street Lighting</v>
      </c>
      <c r="J161" s="244" t="str">
        <f t="shared" si="26"/>
        <v>Sentinel Lighting</v>
      </c>
      <c r="K161" s="244" t="str">
        <f t="shared" si="26"/>
        <v xml:space="preserve">Unmetered Scattered Load </v>
      </c>
      <c r="L161"/>
    </row>
    <row r="162" spans="2:12" ht="12.5" x14ac:dyDescent="0.25">
      <c r="B162" s="99" t="s">
        <v>86</v>
      </c>
      <c r="C162" s="100"/>
      <c r="D162" s="100"/>
      <c r="E162" s="100"/>
      <c r="F162" s="100"/>
      <c r="G162" s="100"/>
      <c r="H162" s="100"/>
      <c r="I162" s="100"/>
      <c r="J162" s="100"/>
      <c r="K162" s="101"/>
      <c r="L162"/>
    </row>
    <row r="163" spans="2:12" ht="15" customHeight="1" x14ac:dyDescent="0.25">
      <c r="B163" s="290">
        <f t="shared" ref="B163:B172" si="27">B142</f>
        <v>2010</v>
      </c>
      <c r="C163" s="291"/>
      <c r="D163" s="291"/>
      <c r="E163" s="108">
        <f t="shared" ref="E163:K172" si="28">E64</f>
        <v>9857.5371205611373</v>
      </c>
      <c r="F163" s="108">
        <f t="shared" si="28"/>
        <v>32298.556426130068</v>
      </c>
      <c r="G163" s="108">
        <f t="shared" si="28"/>
        <v>855158.87223048322</v>
      </c>
      <c r="H163" s="108">
        <f t="shared" si="28"/>
        <v>20514051.905000001</v>
      </c>
      <c r="I163" s="108">
        <f t="shared" si="28"/>
        <v>596.58832196697767</v>
      </c>
      <c r="J163" s="108">
        <f t="shared" si="28"/>
        <v>1118.6789194499017</v>
      </c>
      <c r="K163" s="108">
        <f t="shared" si="28"/>
        <v>8690.7042105263154</v>
      </c>
    </row>
    <row r="164" spans="2:12" ht="15" customHeight="1" x14ac:dyDescent="0.25">
      <c r="B164" s="290">
        <f t="shared" si="27"/>
        <v>2011</v>
      </c>
      <c r="C164" s="291"/>
      <c r="D164" s="291"/>
      <c r="E164" s="108">
        <f t="shared" si="28"/>
        <v>9829.2606290292206</v>
      </c>
      <c r="F164" s="108">
        <f t="shared" si="28"/>
        <v>32414.465871140888</v>
      </c>
      <c r="G164" s="108">
        <f t="shared" si="28"/>
        <v>864430.47033582116</v>
      </c>
      <c r="H164" s="108">
        <f t="shared" si="28"/>
        <v>18543425.905000001</v>
      </c>
      <c r="I164" s="108">
        <f t="shared" si="28"/>
        <v>574.83363293864375</v>
      </c>
      <c r="J164" s="108">
        <f t="shared" si="28"/>
        <v>1016.1690295358651</v>
      </c>
      <c r="K164" s="108">
        <f t="shared" si="28"/>
        <v>4670.7461111111106</v>
      </c>
    </row>
    <row r="165" spans="2:12" ht="15" customHeight="1" x14ac:dyDescent="0.25">
      <c r="B165" s="290">
        <f t="shared" si="27"/>
        <v>2012</v>
      </c>
      <c r="C165" s="291"/>
      <c r="D165" s="291"/>
      <c r="E165" s="108">
        <f t="shared" si="28"/>
        <v>9519.5228361962854</v>
      </c>
      <c r="F165" s="108">
        <f t="shared" si="28"/>
        <v>32116.699644612476</v>
      </c>
      <c r="G165" s="108">
        <f t="shared" si="28"/>
        <v>880663.20059055113</v>
      </c>
      <c r="H165" s="108">
        <f t="shared" si="28"/>
        <v>17861385.91</v>
      </c>
      <c r="I165" s="108">
        <f t="shared" si="28"/>
        <v>500.58099928238255</v>
      </c>
      <c r="J165" s="108">
        <f t="shared" si="28"/>
        <v>1091.1845413870246</v>
      </c>
      <c r="K165" s="108">
        <f t="shared" si="28"/>
        <v>5222.0288235294101</v>
      </c>
    </row>
    <row r="166" spans="2:12" ht="15" customHeight="1" x14ac:dyDescent="0.25">
      <c r="B166" s="290">
        <f t="shared" si="27"/>
        <v>2013</v>
      </c>
      <c r="C166" s="291"/>
      <c r="D166" s="291"/>
      <c r="E166" s="108">
        <f t="shared" si="28"/>
        <v>9844.9232167898499</v>
      </c>
      <c r="F166" s="108">
        <f t="shared" si="28"/>
        <v>32132.627674594391</v>
      </c>
      <c r="G166" s="108">
        <f t="shared" si="28"/>
        <v>849468.44552941155</v>
      </c>
      <c r="H166" s="108">
        <f t="shared" si="28"/>
        <v>17887517.895</v>
      </c>
      <c r="I166" s="108">
        <f t="shared" si="28"/>
        <v>421.28959992823826</v>
      </c>
      <c r="J166" s="108">
        <f t="shared" si="28"/>
        <v>1039.6970023419219</v>
      </c>
      <c r="K166" s="108">
        <f t="shared" si="28"/>
        <v>5938.9446666666654</v>
      </c>
    </row>
    <row r="167" spans="2:12" ht="15" customHeight="1" x14ac:dyDescent="0.25">
      <c r="B167" s="290">
        <f t="shared" si="27"/>
        <v>2014</v>
      </c>
      <c r="C167" s="291"/>
      <c r="D167" s="291"/>
      <c r="E167" s="108">
        <f t="shared" si="28"/>
        <v>9752.8095728560093</v>
      </c>
      <c r="F167" s="108">
        <f t="shared" si="28"/>
        <v>32129.866270229926</v>
      </c>
      <c r="G167" s="108">
        <f t="shared" si="28"/>
        <v>862048.36285714281</v>
      </c>
      <c r="H167" s="108">
        <f t="shared" si="28"/>
        <v>13463277.910000002</v>
      </c>
      <c r="I167" s="108">
        <f t="shared" si="28"/>
        <v>373.97414467613953</v>
      </c>
      <c r="J167" s="108">
        <f t="shared" si="28"/>
        <v>992.95700234192145</v>
      </c>
      <c r="K167" s="108">
        <f t="shared" si="28"/>
        <v>4600.8681818181803</v>
      </c>
    </row>
    <row r="168" spans="2:12" ht="15" customHeight="1" x14ac:dyDescent="0.25">
      <c r="B168" s="290">
        <f t="shared" si="27"/>
        <v>2015</v>
      </c>
      <c r="C168" s="291"/>
      <c r="D168" s="291"/>
      <c r="E168" s="108">
        <f t="shared" si="28"/>
        <v>9313.9901903228838</v>
      </c>
      <c r="F168" s="108">
        <f t="shared" si="28"/>
        <v>31582.844244142278</v>
      </c>
      <c r="G168" s="108">
        <f t="shared" si="28"/>
        <v>851334.15114173223</v>
      </c>
      <c r="H168" s="108">
        <f t="shared" si="28"/>
        <v>17738635.890000001</v>
      </c>
      <c r="I168" s="108">
        <f t="shared" si="28"/>
        <v>375.57519734415342</v>
      </c>
      <c r="J168" s="108">
        <f t="shared" si="28"/>
        <v>930.04982587064796</v>
      </c>
      <c r="K168" s="108">
        <f t="shared" si="28"/>
        <v>4293.3589999999995</v>
      </c>
    </row>
    <row r="169" spans="2:12" ht="15" customHeight="1" x14ac:dyDescent="0.25">
      <c r="B169" s="290">
        <f t="shared" si="27"/>
        <v>2016</v>
      </c>
      <c r="C169" s="291"/>
      <c r="D169" s="291"/>
      <c r="E169" s="108">
        <f t="shared" si="28"/>
        <v>8888.429675057876</v>
      </c>
      <c r="F169" s="108">
        <f t="shared" si="28"/>
        <v>30328.357472734187</v>
      </c>
      <c r="G169" s="108">
        <f t="shared" si="28"/>
        <v>793993.97245059302</v>
      </c>
      <c r="H169" s="108">
        <f t="shared" si="28"/>
        <v>16805471.899999999</v>
      </c>
      <c r="I169" s="108">
        <f t="shared" si="28"/>
        <v>376.56740044247789</v>
      </c>
      <c r="J169" s="108">
        <f t="shared" si="28"/>
        <v>352.00691441441444</v>
      </c>
      <c r="K169" s="108">
        <f t="shared" si="28"/>
        <v>4293.3559999999989</v>
      </c>
    </row>
    <row r="170" spans="2:12" ht="15" customHeight="1" x14ac:dyDescent="0.25">
      <c r="B170" s="290">
        <f t="shared" si="27"/>
        <v>2017</v>
      </c>
      <c r="C170" s="291"/>
      <c r="D170" s="291"/>
      <c r="E170" s="108">
        <f t="shared" si="28"/>
        <v>8708.3155497357602</v>
      </c>
      <c r="F170" s="108">
        <f t="shared" si="28"/>
        <v>29692.660147003433</v>
      </c>
      <c r="G170" s="108">
        <f t="shared" si="28"/>
        <v>767609.82942528732</v>
      </c>
      <c r="H170" s="108">
        <f t="shared" si="28"/>
        <v>16522751.91</v>
      </c>
      <c r="I170" s="108">
        <f t="shared" si="28"/>
        <v>375.4367109144543</v>
      </c>
      <c r="J170" s="108">
        <f t="shared" si="28"/>
        <v>296.04577981651346</v>
      </c>
      <c r="K170" s="108">
        <f t="shared" si="28"/>
        <v>4293.3589999999986</v>
      </c>
    </row>
    <row r="171" spans="2:12" ht="15" customHeight="1" x14ac:dyDescent="0.25">
      <c r="B171" s="290">
        <f t="shared" si="27"/>
        <v>2018</v>
      </c>
      <c r="C171" s="291"/>
      <c r="D171" s="291"/>
      <c r="E171" s="108">
        <f t="shared" si="28"/>
        <v>9269.5901808846193</v>
      </c>
      <c r="F171" s="108">
        <f t="shared" si="28"/>
        <v>30826.707611152993</v>
      </c>
      <c r="G171" s="108">
        <f t="shared" si="28"/>
        <v>775188.63612403127</v>
      </c>
      <c r="H171" s="108">
        <f t="shared" si="28"/>
        <v>16185719.91</v>
      </c>
      <c r="I171" s="108">
        <f t="shared" si="28"/>
        <v>374.55663348082601</v>
      </c>
      <c r="J171" s="108">
        <f t="shared" si="28"/>
        <v>293.41959999999978</v>
      </c>
      <c r="K171" s="108">
        <f t="shared" si="28"/>
        <v>4207.2619999999988</v>
      </c>
    </row>
    <row r="172" spans="2:12" ht="15" customHeight="1" x14ac:dyDescent="0.25">
      <c r="B172" s="290">
        <f t="shared" si="27"/>
        <v>2019</v>
      </c>
      <c r="C172" s="291"/>
      <c r="D172" s="291"/>
      <c r="E172" s="108">
        <f t="shared" si="28"/>
        <v>9297.3222626879651</v>
      </c>
      <c r="F172" s="108">
        <f t="shared" si="28"/>
        <v>30309.170784018093</v>
      </c>
      <c r="G172" s="108">
        <f t="shared" si="28"/>
        <v>760278.79745247157</v>
      </c>
      <c r="H172" s="108">
        <f t="shared" si="28"/>
        <v>15352959.899999999</v>
      </c>
      <c r="I172" s="108">
        <f t="shared" si="28"/>
        <v>375.4367109144543</v>
      </c>
      <c r="J172" s="108">
        <f t="shared" si="28"/>
        <v>293.57431654676259</v>
      </c>
      <c r="K172" s="108">
        <f t="shared" si="28"/>
        <v>4387.7444444444445</v>
      </c>
    </row>
    <row r="173" spans="2:12" ht="15" customHeight="1" x14ac:dyDescent="0.25">
      <c r="B173" s="60"/>
      <c r="C173" s="60"/>
      <c r="D173" s="60"/>
    </row>
    <row r="174" spans="2:12" ht="15" customHeight="1" x14ac:dyDescent="0.25">
      <c r="B174" s="403" t="s">
        <v>253</v>
      </c>
      <c r="C174" s="61"/>
      <c r="D174" s="61"/>
      <c r="E174" s="73"/>
      <c r="F174" s="73"/>
      <c r="G174" s="73"/>
      <c r="H174" s="73"/>
      <c r="I174" s="73"/>
    </row>
    <row r="175" spans="2:12" ht="31.5" x14ac:dyDescent="0.25">
      <c r="B175" s="298" t="s">
        <v>65</v>
      </c>
      <c r="C175" s="296"/>
      <c r="D175" s="296"/>
      <c r="E175" s="244" t="str">
        <f t="shared" ref="E175:K175" si="29">E161</f>
        <v xml:space="preserve">Residential </v>
      </c>
      <c r="F175" s="244" t="str">
        <f t="shared" si="29"/>
        <v>General Service &lt; 50 kW</v>
      </c>
      <c r="G175" s="244" t="str">
        <f t="shared" si="29"/>
        <v>General Service 50 to 2999 kW</v>
      </c>
      <c r="H175" s="244" t="str">
        <f t="shared" si="29"/>
        <v>General Service 3000 to 4999 kW</v>
      </c>
      <c r="I175" s="244" t="str">
        <f t="shared" si="29"/>
        <v>Street Lighting</v>
      </c>
      <c r="J175" s="244" t="str">
        <f t="shared" si="29"/>
        <v>Sentinel Lighting</v>
      </c>
      <c r="K175" s="244" t="str">
        <f t="shared" si="29"/>
        <v xml:space="preserve">Unmetered Scattered Load </v>
      </c>
    </row>
    <row r="176" spans="2:12" ht="15" customHeight="1" x14ac:dyDescent="0.25">
      <c r="B176" s="99" t="s">
        <v>87</v>
      </c>
      <c r="C176" s="100"/>
      <c r="D176" s="100"/>
      <c r="E176" s="100"/>
      <c r="F176" s="100"/>
      <c r="G176" s="100"/>
      <c r="H176" s="100"/>
      <c r="I176" s="100"/>
      <c r="J176" s="100"/>
      <c r="K176" s="101"/>
    </row>
    <row r="177" spans="2:11" ht="15" customHeight="1" x14ac:dyDescent="0.25">
      <c r="B177" s="290">
        <f t="shared" ref="B177:B186" si="30">B163</f>
        <v>2010</v>
      </c>
      <c r="C177" s="291"/>
      <c r="D177" s="291"/>
      <c r="E177" s="96"/>
      <c r="F177" s="96"/>
      <c r="G177" s="96"/>
      <c r="H177" s="96"/>
      <c r="I177" s="96"/>
      <c r="J177" s="96"/>
      <c r="K177" s="96"/>
    </row>
    <row r="178" spans="2:11" ht="15" customHeight="1" x14ac:dyDescent="0.25">
      <c r="B178" s="290">
        <f t="shared" si="30"/>
        <v>2011</v>
      </c>
      <c r="C178" s="291"/>
      <c r="D178" s="291"/>
      <c r="E178" s="96">
        <f t="shared" ref="E178:K186" si="31">E164/E163-1</f>
        <v>-2.8685148415963369E-3</v>
      </c>
      <c r="F178" s="96">
        <f t="shared" si="31"/>
        <v>3.5886880974360658E-3</v>
      </c>
      <c r="G178" s="96">
        <f t="shared" si="31"/>
        <v>1.0841959788308264E-2</v>
      </c>
      <c r="H178" s="96">
        <f t="shared" si="31"/>
        <v>-9.6062250847658626E-2</v>
      </c>
      <c r="I178" s="96">
        <f t="shared" si="31"/>
        <v>-3.6465160693403775E-2</v>
      </c>
      <c r="J178" s="96">
        <f t="shared" si="31"/>
        <v>-9.1634773956806859E-2</v>
      </c>
      <c r="K178" s="96">
        <f t="shared" si="31"/>
        <v>-0.4625583844570581</v>
      </c>
    </row>
    <row r="179" spans="2:11" ht="15" customHeight="1" x14ac:dyDescent="0.25">
      <c r="B179" s="290">
        <f t="shared" si="30"/>
        <v>2012</v>
      </c>
      <c r="C179" s="291"/>
      <c r="D179" s="291"/>
      <c r="E179" s="96">
        <f t="shared" si="31"/>
        <v>-3.1511809944094082E-2</v>
      </c>
      <c r="F179" s="96">
        <f t="shared" si="31"/>
        <v>-9.1862141956045029E-3</v>
      </c>
      <c r="G179" s="96">
        <f t="shared" si="31"/>
        <v>1.8778526222500869E-2</v>
      </c>
      <c r="H179" s="96">
        <f t="shared" si="31"/>
        <v>-3.6780689743856732E-2</v>
      </c>
      <c r="I179" s="96">
        <f t="shared" si="31"/>
        <v>-0.12917238902092343</v>
      </c>
      <c r="J179" s="96">
        <f t="shared" si="31"/>
        <v>7.3821883634283658E-2</v>
      </c>
      <c r="K179" s="96">
        <f t="shared" si="31"/>
        <v>0.11802883293246613</v>
      </c>
    </row>
    <row r="180" spans="2:11" ht="15" customHeight="1" x14ac:dyDescent="0.25">
      <c r="B180" s="290">
        <f t="shared" si="30"/>
        <v>2013</v>
      </c>
      <c r="C180" s="291"/>
      <c r="D180" s="291"/>
      <c r="E180" s="96">
        <f t="shared" si="31"/>
        <v>3.41824255472436E-2</v>
      </c>
      <c r="F180" s="96">
        <f t="shared" si="31"/>
        <v>4.959423028569887E-4</v>
      </c>
      <c r="G180" s="96">
        <f t="shared" si="31"/>
        <v>-3.5421890048569216E-2</v>
      </c>
      <c r="H180" s="96">
        <f t="shared" si="31"/>
        <v>1.4630435248235152E-3</v>
      </c>
      <c r="I180" s="96">
        <f t="shared" si="31"/>
        <v>-0.15839873960021256</v>
      </c>
      <c r="J180" s="96">
        <f t="shared" si="31"/>
        <v>-4.718499675559551E-2</v>
      </c>
      <c r="K180" s="96">
        <f t="shared" si="31"/>
        <v>0.13728684144885928</v>
      </c>
    </row>
    <row r="181" spans="2:11" ht="15" customHeight="1" x14ac:dyDescent="0.25">
      <c r="B181" s="290">
        <f t="shared" si="30"/>
        <v>2014</v>
      </c>
      <c r="C181" s="291"/>
      <c r="D181" s="291"/>
      <c r="E181" s="96">
        <f t="shared" si="31"/>
        <v>-9.3564613867934687E-3</v>
      </c>
      <c r="F181" s="96">
        <f t="shared" si="31"/>
        <v>-8.5937707691718934E-5</v>
      </c>
      <c r="G181" s="96">
        <f t="shared" si="31"/>
        <v>1.4809163770516554E-2</v>
      </c>
      <c r="H181" s="96">
        <f t="shared" si="31"/>
        <v>-0.2473367188768365</v>
      </c>
      <c r="I181" s="96">
        <f t="shared" si="31"/>
        <v>-0.11231099761341923</v>
      </c>
      <c r="J181" s="96">
        <f t="shared" si="31"/>
        <v>-4.4955405175467922E-2</v>
      </c>
      <c r="K181" s="96">
        <f t="shared" si="31"/>
        <v>-0.22530543050159502</v>
      </c>
    </row>
    <row r="182" spans="2:11" ht="15" customHeight="1" x14ac:dyDescent="0.25">
      <c r="B182" s="290">
        <f t="shared" si="30"/>
        <v>2015</v>
      </c>
      <c r="C182" s="291"/>
      <c r="D182" s="291"/>
      <c r="E182" s="96">
        <f t="shared" si="31"/>
        <v>-4.4994150583483772E-2</v>
      </c>
      <c r="F182" s="96">
        <f t="shared" si="31"/>
        <v>-1.7025344005072718E-2</v>
      </c>
      <c r="G182" s="96">
        <f t="shared" si="31"/>
        <v>-1.2428782626417556E-2</v>
      </c>
      <c r="H182" s="96">
        <f t="shared" si="31"/>
        <v>0.31755698787324516</v>
      </c>
      <c r="I182" s="96">
        <f t="shared" si="31"/>
        <v>4.2811854530755422E-3</v>
      </c>
      <c r="J182" s="96">
        <f t="shared" si="31"/>
        <v>-6.3353374136951413E-2</v>
      </c>
      <c r="K182" s="96">
        <f t="shared" si="31"/>
        <v>-6.6837207602122306E-2</v>
      </c>
    </row>
    <row r="183" spans="2:11" ht="15" customHeight="1" x14ac:dyDescent="0.25">
      <c r="B183" s="290">
        <f t="shared" si="30"/>
        <v>2016</v>
      </c>
      <c r="C183" s="291"/>
      <c r="D183" s="291"/>
      <c r="E183" s="96">
        <f t="shared" si="31"/>
        <v>-4.5690462043556757E-2</v>
      </c>
      <c r="F183" s="96">
        <f t="shared" si="31"/>
        <v>-3.972051287435141E-2</v>
      </c>
      <c r="G183" s="96">
        <f t="shared" si="31"/>
        <v>-6.7353316690326293E-2</v>
      </c>
      <c r="H183" s="96">
        <f t="shared" si="31"/>
        <v>-5.2606299367476406E-2</v>
      </c>
      <c r="I183" s="96">
        <f t="shared" si="31"/>
        <v>2.6418227437294828E-3</v>
      </c>
      <c r="J183" s="96">
        <f t="shared" si="31"/>
        <v>-0.62151821910735805</v>
      </c>
      <c r="K183" s="96">
        <f t="shared" si="31"/>
        <v>-6.9875358676974031E-7</v>
      </c>
    </row>
    <row r="184" spans="2:11" ht="15" customHeight="1" x14ac:dyDescent="0.25">
      <c r="B184" s="290">
        <f t="shared" si="30"/>
        <v>2017</v>
      </c>
      <c r="C184" s="291"/>
      <c r="D184" s="291"/>
      <c r="E184" s="96">
        <f t="shared" si="31"/>
        <v>-2.026388596261719E-2</v>
      </c>
      <c r="F184" s="96">
        <f t="shared" si="31"/>
        <v>-2.0960493040292683E-2</v>
      </c>
      <c r="G184" s="96">
        <f t="shared" si="31"/>
        <v>-3.3229651534851468E-2</v>
      </c>
      <c r="H184" s="96">
        <f t="shared" si="31"/>
        <v>-1.6823091412267788E-2</v>
      </c>
      <c r="I184" s="96">
        <f t="shared" si="31"/>
        <v>-3.0026219122925024E-3</v>
      </c>
      <c r="J184" s="96">
        <f t="shared" si="31"/>
        <v>-0.15897737318880745</v>
      </c>
      <c r="K184" s="96">
        <f t="shared" si="31"/>
        <v>6.9875407482378193E-7</v>
      </c>
    </row>
    <row r="185" spans="2:11" ht="15" customHeight="1" x14ac:dyDescent="0.25">
      <c r="B185" s="290">
        <f t="shared" si="30"/>
        <v>2018</v>
      </c>
      <c r="C185" s="291"/>
      <c r="D185" s="291"/>
      <c r="E185" s="96">
        <f t="shared" si="31"/>
        <v>6.4452720844031752E-2</v>
      </c>
      <c r="F185" s="96">
        <f t="shared" si="31"/>
        <v>3.8192855019896443E-2</v>
      </c>
      <c r="G185" s="96">
        <f t="shared" si="31"/>
        <v>9.8732538435812867E-3</v>
      </c>
      <c r="H185" s="96">
        <f t="shared" si="31"/>
        <v>-2.0398054866152093E-2</v>
      </c>
      <c r="I185" s="96">
        <f t="shared" si="31"/>
        <v>-2.3441432551565278E-3</v>
      </c>
      <c r="J185" s="96">
        <f t="shared" si="31"/>
        <v>-8.8708571293986127E-3</v>
      </c>
      <c r="K185" s="96">
        <f t="shared" si="31"/>
        <v>-2.005352918309411E-2</v>
      </c>
    </row>
    <row r="186" spans="2:11" ht="15" customHeight="1" x14ac:dyDescent="0.25">
      <c r="B186" s="290">
        <f t="shared" si="30"/>
        <v>2019</v>
      </c>
      <c r="C186" s="291"/>
      <c r="D186" s="291"/>
      <c r="E186" s="96">
        <f t="shared" si="31"/>
        <v>2.9917268468389047E-3</v>
      </c>
      <c r="F186" s="96">
        <f t="shared" si="31"/>
        <v>-1.6788585847800963E-2</v>
      </c>
      <c r="G186" s="96">
        <f t="shared" si="31"/>
        <v>-1.9233819972012678E-2</v>
      </c>
      <c r="H186" s="96">
        <f t="shared" si="31"/>
        <v>-5.1450291654033808E-2</v>
      </c>
      <c r="I186" s="96">
        <f t="shared" si="31"/>
        <v>2.349651174108347E-3</v>
      </c>
      <c r="J186" s="96">
        <f t="shared" si="31"/>
        <v>5.2728770253529511E-4</v>
      </c>
      <c r="K186" s="96">
        <f t="shared" si="31"/>
        <v>4.2897838177048619E-2</v>
      </c>
    </row>
    <row r="187" spans="2:11" ht="15" customHeight="1" x14ac:dyDescent="0.25">
      <c r="B187" s="290" t="str">
        <f>B152</f>
        <v>Geo Mean - 2017 to 2019</v>
      </c>
      <c r="C187" s="291"/>
      <c r="D187" s="291"/>
      <c r="E187" s="96">
        <f>'Rate Class Energy Model'!H64-1</f>
        <v>1.5104955758932226E-2</v>
      </c>
      <c r="F187" s="96">
        <f>'Rate Class Energy Model'!I64-1</f>
        <v>-2.1092181020765377E-4</v>
      </c>
      <c r="G187" s="96">
        <f>'Rate Class Energy Model'!J64-1</f>
        <v>-1.4359460279506853E-2</v>
      </c>
      <c r="H187" s="96">
        <f>'Rate Class Energy Model'!K64-1</f>
        <v>-2.9682640547824435E-2</v>
      </c>
      <c r="I187" s="96">
        <f>'Rate Class Energy Model'!L64-1</f>
        <v>-1.0018773938622605E-3</v>
      </c>
      <c r="J187" s="96">
        <f>'Rate Class Energy Model'!M64-1</f>
        <v>-5.8712507324200969E-2</v>
      </c>
      <c r="K187" s="96">
        <f>'Rate Class Energy Model'!N64-1</f>
        <v>7.2751997992335227E-3</v>
      </c>
    </row>
    <row r="188" spans="2:11" ht="15" customHeight="1" x14ac:dyDescent="0.25">
      <c r="B188" s="60"/>
      <c r="C188" s="60"/>
      <c r="D188" s="60"/>
    </row>
    <row r="189" spans="2:11" ht="15" customHeight="1" x14ac:dyDescent="0.25">
      <c r="B189" s="403" t="s">
        <v>254</v>
      </c>
      <c r="C189" s="61"/>
      <c r="D189" s="61"/>
      <c r="E189" s="73"/>
      <c r="F189" s="73"/>
      <c r="G189" s="73"/>
      <c r="H189" s="73"/>
      <c r="I189" s="73"/>
      <c r="J189" s="73"/>
    </row>
    <row r="190" spans="2:11" ht="31.5" x14ac:dyDescent="0.25">
      <c r="B190" s="246" t="s">
        <v>65</v>
      </c>
      <c r="C190" s="247"/>
      <c r="D190" s="247"/>
      <c r="E190" s="248" t="str">
        <f t="shared" ref="E190:K190" si="32">E175</f>
        <v xml:space="preserve">Residential </v>
      </c>
      <c r="F190" s="248" t="str">
        <f t="shared" si="32"/>
        <v>General Service &lt; 50 kW</v>
      </c>
      <c r="G190" s="248" t="str">
        <f t="shared" si="32"/>
        <v>General Service 50 to 2999 kW</v>
      </c>
      <c r="H190" s="248" t="str">
        <f t="shared" si="32"/>
        <v>General Service 3000 to 4999 kW</v>
      </c>
      <c r="I190" s="248" t="str">
        <f t="shared" si="32"/>
        <v>Street Lighting</v>
      </c>
      <c r="J190" s="248" t="str">
        <f t="shared" si="32"/>
        <v>Sentinel Lighting</v>
      </c>
      <c r="K190" s="248" t="str">
        <f t="shared" si="32"/>
        <v xml:space="preserve">Unmetered Scattered Load </v>
      </c>
    </row>
    <row r="191" spans="2:11" ht="15" customHeight="1" x14ac:dyDescent="0.25">
      <c r="B191" s="99" t="s">
        <v>88</v>
      </c>
      <c r="C191" s="100"/>
      <c r="D191" s="100"/>
      <c r="E191" s="100"/>
      <c r="F191" s="100"/>
      <c r="G191" s="100"/>
      <c r="H191" s="100"/>
      <c r="I191" s="100"/>
      <c r="J191" s="100"/>
      <c r="K191" s="101"/>
    </row>
    <row r="192" spans="2:11" ht="15" customHeight="1" x14ac:dyDescent="0.25">
      <c r="B192" s="414">
        <f>B157</f>
        <v>2020</v>
      </c>
      <c r="C192" s="415"/>
      <c r="D192" s="416"/>
      <c r="E192" s="80">
        <f>E172*(1+E187)</f>
        <v>9437.7579041424033</v>
      </c>
      <c r="F192" s="80">
        <f>F172*(1+F187)</f>
        <v>30302.777918850436</v>
      </c>
      <c r="G192" s="80">
        <f>G172*(1+G187)</f>
        <v>749361.60425910156</v>
      </c>
      <c r="H192" s="80">
        <f>H172*(1+H187)</f>
        <v>14897243.509943135</v>
      </c>
      <c r="I192" s="80">
        <f>I172*(1+I187)</f>
        <v>375.06056936096309</v>
      </c>
      <c r="J192" s="80">
        <f>+'Rate Class Energy Model'!M44</f>
        <v>293.57431654676259</v>
      </c>
      <c r="K192" s="80">
        <f>+'Rate Class Energy Model'!N44</f>
        <v>4387.7444444444445</v>
      </c>
    </row>
    <row r="193" spans="2:22" ht="10" x14ac:dyDescent="0.25">
      <c r="B193" s="414">
        <f>B158</f>
        <v>2021</v>
      </c>
      <c r="C193" s="415"/>
      <c r="D193" s="416"/>
      <c r="E193" s="80">
        <f>E192*(1+E187)</f>
        <v>9580.3148197479877</v>
      </c>
      <c r="F193" s="80">
        <f t="shared" ref="F193:I193" si="33">F192*(1+F187)</f>
        <v>30296.386402077471</v>
      </c>
      <c r="G193" s="80">
        <f t="shared" si="33"/>
        <v>738601.17606775544</v>
      </c>
      <c r="H193" s="80">
        <f t="shared" si="33"/>
        <v>14455053.985684082</v>
      </c>
      <c r="I193" s="80">
        <f t="shared" si="33"/>
        <v>374.68480465519121</v>
      </c>
      <c r="J193" s="80">
        <f>+'Rate Class Energy Model'!M45</f>
        <v>293.57431654676259</v>
      </c>
      <c r="K193" s="80">
        <f>+'Rate Class Energy Model'!N45</f>
        <v>4387.7444444444445</v>
      </c>
    </row>
    <row r="194" spans="2:22" ht="15" customHeight="1" x14ac:dyDescent="0.25">
      <c r="B194" s="86"/>
      <c r="C194" s="86"/>
      <c r="D194" s="86"/>
      <c r="E194" s="68"/>
      <c r="F194" s="68"/>
      <c r="G194" s="68"/>
      <c r="H194" s="68"/>
      <c r="I194" s="68"/>
    </row>
    <row r="195" spans="2:22" ht="15" customHeight="1" x14ac:dyDescent="0.25">
      <c r="B195" s="403" t="s">
        <v>255</v>
      </c>
      <c r="C195" s="61"/>
      <c r="D195" s="61"/>
      <c r="E195" s="73"/>
      <c r="F195" s="73"/>
      <c r="G195" s="73"/>
      <c r="H195" s="73"/>
      <c r="I195" s="73"/>
    </row>
    <row r="196" spans="2:22" ht="31.5" x14ac:dyDescent="0.25">
      <c r="B196" s="298" t="s">
        <v>65</v>
      </c>
      <c r="C196" s="296"/>
      <c r="D196" s="296"/>
      <c r="E196" s="244" t="str">
        <f t="shared" ref="E196:K196" si="34">E190</f>
        <v xml:space="preserve">Residential </v>
      </c>
      <c r="F196" s="244" t="str">
        <f t="shared" si="34"/>
        <v>General Service &lt; 50 kW</v>
      </c>
      <c r="G196" s="244" t="str">
        <f t="shared" si="34"/>
        <v>General Service 50 to 2999 kW</v>
      </c>
      <c r="H196" s="244" t="str">
        <f t="shared" si="34"/>
        <v>General Service 3000 to 4999 kW</v>
      </c>
      <c r="I196" s="244" t="str">
        <f t="shared" si="34"/>
        <v>Street Lighting</v>
      </c>
      <c r="J196" s="244" t="str">
        <f t="shared" si="34"/>
        <v>Sentinel Lighting</v>
      </c>
      <c r="K196" s="244" t="str">
        <f t="shared" si="34"/>
        <v xml:space="preserve">Unmetered Scattered Load </v>
      </c>
      <c r="L196" s="244" t="s">
        <v>57</v>
      </c>
    </row>
    <row r="197" spans="2:22" ht="10.5" x14ac:dyDescent="0.25">
      <c r="B197" s="99" t="s">
        <v>89</v>
      </c>
      <c r="C197" s="100"/>
      <c r="D197" s="100"/>
      <c r="E197" s="100"/>
      <c r="F197" s="100"/>
      <c r="G197" s="100"/>
      <c r="H197" s="100"/>
      <c r="I197" s="100"/>
      <c r="J197" s="100"/>
      <c r="K197" s="100"/>
      <c r="L197" s="101"/>
    </row>
    <row r="198" spans="2:22" ht="10.5" x14ac:dyDescent="0.25">
      <c r="B198" s="106" t="s">
        <v>200</v>
      </c>
      <c r="C198" s="100"/>
      <c r="D198" s="100"/>
      <c r="E198" s="216">
        <f t="shared" ref="E198:K199" si="35">E192*E157/1000000</f>
        <v>201.17524748469947</v>
      </c>
      <c r="F198" s="216">
        <f t="shared" si="35"/>
        <v>80.332664262872498</v>
      </c>
      <c r="G198" s="216">
        <f t="shared" si="35"/>
        <v>199.33018673292099</v>
      </c>
      <c r="H198" s="216">
        <f t="shared" si="35"/>
        <v>14.897243509943134</v>
      </c>
      <c r="I198" s="216">
        <f t="shared" si="35"/>
        <v>2.0343285282138637</v>
      </c>
      <c r="J198" s="216">
        <f t="shared" si="35"/>
        <v>0.11977832115107913</v>
      </c>
      <c r="K198" s="216">
        <f t="shared" si="35"/>
        <v>3.9489699999999996E-2</v>
      </c>
      <c r="L198" s="216">
        <f>SUM(E198:K198)</f>
        <v>497.92893853980098</v>
      </c>
    </row>
    <row r="199" spans="2:22" ht="15" customHeight="1" x14ac:dyDescent="0.25">
      <c r="B199" s="106" t="s">
        <v>198</v>
      </c>
      <c r="C199" s="291"/>
      <c r="D199" s="291"/>
      <c r="E199" s="216">
        <f t="shared" si="35"/>
        <v>204.55888203125903</v>
      </c>
      <c r="F199" s="216">
        <f t="shared" si="35"/>
        <v>80.255127579103217</v>
      </c>
      <c r="G199" s="216">
        <f t="shared" si="35"/>
        <v>198.68371636222622</v>
      </c>
      <c r="H199" s="216">
        <f t="shared" si="35"/>
        <v>14.455053985684081</v>
      </c>
      <c r="I199" s="216">
        <f t="shared" si="35"/>
        <v>2.0322903804497572</v>
      </c>
      <c r="J199" s="216">
        <f t="shared" si="35"/>
        <v>0.11742972661870504</v>
      </c>
      <c r="K199" s="216">
        <f t="shared" si="35"/>
        <v>3.9489699999999996E-2</v>
      </c>
      <c r="L199" s="216">
        <f>SUM(E199:K199)</f>
        <v>500.14198976534095</v>
      </c>
    </row>
    <row r="200" spans="2:22" ht="15" customHeight="1" x14ac:dyDescent="0.25">
      <c r="B200" s="86"/>
      <c r="C200" s="86"/>
      <c r="D200" s="86"/>
      <c r="E200" s="69"/>
      <c r="F200" s="69"/>
      <c r="G200" s="69"/>
      <c r="H200" s="69"/>
      <c r="I200" s="69"/>
      <c r="J200" s="69"/>
      <c r="K200" s="69"/>
    </row>
    <row r="201" spans="2:22" ht="15" customHeight="1" x14ac:dyDescent="0.25">
      <c r="B201" s="60"/>
      <c r="C201" s="73"/>
      <c r="D201" s="73"/>
      <c r="E201" s="403" t="s">
        <v>256</v>
      </c>
      <c r="F201" s="73"/>
      <c r="G201" s="73"/>
    </row>
    <row r="202" spans="2:22" ht="31.5" x14ac:dyDescent="0.25">
      <c r="B202" s="60"/>
      <c r="C202" s="60"/>
      <c r="D202" s="60"/>
      <c r="E202" s="244" t="str">
        <f t="shared" ref="E202:K202" si="36">E196</f>
        <v xml:space="preserve">Residential </v>
      </c>
      <c r="F202" s="244" t="str">
        <f t="shared" si="36"/>
        <v>General Service &lt; 50 kW</v>
      </c>
      <c r="G202" s="244" t="str">
        <f t="shared" si="36"/>
        <v>General Service 50 to 2999 kW</v>
      </c>
      <c r="H202" s="244" t="str">
        <f t="shared" si="36"/>
        <v>General Service 3000 to 4999 kW</v>
      </c>
      <c r="I202" s="244" t="str">
        <f t="shared" si="36"/>
        <v>Street Lighting</v>
      </c>
      <c r="J202" s="244" t="str">
        <f t="shared" si="36"/>
        <v>Sentinel Lighting</v>
      </c>
      <c r="K202" s="244" t="str">
        <f t="shared" si="36"/>
        <v xml:space="preserve">Unmetered Scattered Load </v>
      </c>
    </row>
    <row r="203" spans="2:22" ht="15" customHeight="1" x14ac:dyDescent="0.25">
      <c r="B203" s="60"/>
      <c r="C203" s="60"/>
      <c r="D203" s="60"/>
      <c r="E203" s="76" t="s">
        <v>90</v>
      </c>
      <c r="F203" s="77"/>
      <c r="G203" s="77"/>
      <c r="H203" s="77"/>
      <c r="I203" s="77"/>
      <c r="J203" s="110"/>
      <c r="K203" s="104"/>
    </row>
    <row r="204" spans="2:22" ht="15" customHeight="1" x14ac:dyDescent="0.25">
      <c r="B204" s="60"/>
      <c r="C204" s="60"/>
      <c r="D204" s="60"/>
      <c r="E204" s="111">
        <f>'Rate Class Energy Model'!H75</f>
        <v>0.91</v>
      </c>
      <c r="F204" s="111">
        <f>'Rate Class Energy Model'!I75</f>
        <v>0.91</v>
      </c>
      <c r="G204" s="111">
        <f>'Rate Class Energy Model'!J75</f>
        <v>0.81620000000000004</v>
      </c>
      <c r="H204" s="111">
        <f>'Rate Class Energy Model'!K75</f>
        <v>0</v>
      </c>
      <c r="I204" s="111">
        <f>'Rate Class Energy Model'!L75</f>
        <v>0</v>
      </c>
      <c r="J204" s="111">
        <f>'Rate Class Energy Model'!M75</f>
        <v>0</v>
      </c>
      <c r="K204" s="111">
        <f>'Rate Class Energy Model'!N75</f>
        <v>0</v>
      </c>
    </row>
    <row r="205" spans="2:22" ht="15" customHeight="1" x14ac:dyDescent="0.25">
      <c r="B205" s="60"/>
      <c r="C205" s="60"/>
      <c r="D205" s="60"/>
      <c r="E205" s="70"/>
      <c r="F205" s="70"/>
      <c r="G205" s="70"/>
      <c r="H205" s="70"/>
      <c r="I205" s="70"/>
      <c r="J205" s="70"/>
      <c r="O205" s="403" t="s">
        <v>262</v>
      </c>
      <c r="P205" s="302"/>
      <c r="Q205" s="302"/>
      <c r="R205" s="302"/>
      <c r="S205" s="302"/>
      <c r="T205" s="302"/>
      <c r="U205" s="302"/>
    </row>
    <row r="206" spans="2:22" ht="15" customHeight="1" x14ac:dyDescent="0.25">
      <c r="B206" s="60"/>
      <c r="C206" s="60"/>
      <c r="D206" s="60"/>
      <c r="E206" s="70"/>
      <c r="F206" s="70"/>
      <c r="G206" s="70"/>
      <c r="H206" s="70"/>
      <c r="I206" s="70"/>
      <c r="J206" s="70"/>
      <c r="O206" s="465" t="s">
        <v>257</v>
      </c>
      <c r="P206" s="465"/>
      <c r="Q206" s="465"/>
      <c r="R206" s="465"/>
      <c r="S206" s="465"/>
      <c r="T206" s="465"/>
      <c r="U206" s="465"/>
      <c r="V206" s="465"/>
    </row>
    <row r="207" spans="2:22" ht="15" customHeight="1" x14ac:dyDescent="0.35">
      <c r="B207" s="60"/>
      <c r="C207" s="60"/>
      <c r="D207" s="60"/>
      <c r="J207" s="70"/>
      <c r="O207" s="404"/>
      <c r="P207" s="404">
        <v>2015</v>
      </c>
      <c r="Q207" s="404">
        <v>2016</v>
      </c>
      <c r="R207" s="404">
        <v>2017</v>
      </c>
      <c r="S207" s="404">
        <v>2018</v>
      </c>
      <c r="T207" s="404">
        <v>2019</v>
      </c>
      <c r="U207" s="404">
        <v>2020</v>
      </c>
      <c r="V207" s="405">
        <v>2021</v>
      </c>
    </row>
    <row r="208" spans="2:22" ht="15" customHeight="1" x14ac:dyDescent="0.35">
      <c r="B208" s="60"/>
      <c r="C208" s="60"/>
      <c r="D208" s="60"/>
      <c r="J208" s="70"/>
      <c r="O208" s="406" t="s">
        <v>156</v>
      </c>
      <c r="P208" s="407">
        <v>16748850</v>
      </c>
      <c r="Q208" s="407">
        <v>16682974</v>
      </c>
      <c r="R208" s="407">
        <v>16674278</v>
      </c>
      <c r="S208" s="407">
        <v>16670505</v>
      </c>
      <c r="T208" s="407">
        <v>16663767</v>
      </c>
      <c r="U208" s="408">
        <v>16660104</v>
      </c>
      <c r="V208" s="408">
        <v>16656981</v>
      </c>
    </row>
    <row r="209" spans="2:22" ht="15" customHeight="1" x14ac:dyDescent="0.35">
      <c r="B209" s="60"/>
      <c r="C209" s="60"/>
      <c r="D209" s="60"/>
      <c r="J209" s="70"/>
      <c r="O209" s="406" t="s">
        <v>258</v>
      </c>
      <c r="P209" s="407"/>
      <c r="Q209" s="407">
        <v>4554823.860371232</v>
      </c>
      <c r="R209" s="408">
        <v>4554803.702915797</v>
      </c>
      <c r="S209" s="408">
        <v>4554782.545460362</v>
      </c>
      <c r="T209" s="408">
        <v>4554761.388004926</v>
      </c>
      <c r="U209" s="408">
        <v>4554740.230549491</v>
      </c>
      <c r="V209" s="408">
        <v>4554740.230549491</v>
      </c>
    </row>
    <row r="210" spans="2:22" ht="15" customHeight="1" x14ac:dyDescent="0.35">
      <c r="B210" s="60"/>
      <c r="C210" s="60"/>
      <c r="D210" s="60"/>
      <c r="J210" s="70"/>
      <c r="O210" s="406" t="s">
        <v>259</v>
      </c>
      <c r="P210" s="407"/>
      <c r="Q210" s="407"/>
      <c r="R210" s="408">
        <v>6401725.4689382426</v>
      </c>
      <c r="S210" s="408">
        <v>5503682.5579390107</v>
      </c>
      <c r="T210" s="408">
        <v>5502828.6469397796</v>
      </c>
      <c r="U210" s="408">
        <v>5501974.7359405477</v>
      </c>
      <c r="V210" s="408">
        <v>5501831.7359405477</v>
      </c>
    </row>
    <row r="211" spans="2:22" ht="15" customHeight="1" x14ac:dyDescent="0.35">
      <c r="B211" s="60"/>
      <c r="C211" s="60"/>
      <c r="D211" s="60"/>
      <c r="J211" s="70"/>
      <c r="O211" s="406" t="s">
        <v>260</v>
      </c>
      <c r="P211" s="407"/>
      <c r="Q211" s="407"/>
      <c r="R211" s="407"/>
      <c r="S211" s="407">
        <v>4027457.3687953148</v>
      </c>
      <c r="T211" s="407">
        <v>2917353.3566523376</v>
      </c>
      <c r="U211" s="407">
        <v>2907174.0498047457</v>
      </c>
      <c r="V211" s="407">
        <v>2907174.0498047457</v>
      </c>
    </row>
    <row r="212" spans="2:22" ht="15" customHeight="1" x14ac:dyDescent="0.35">
      <c r="B212" s="60"/>
      <c r="C212" s="60"/>
      <c r="D212" s="60"/>
      <c r="J212" s="70"/>
      <c r="O212" s="406" t="s">
        <v>261</v>
      </c>
      <c r="P212" s="407"/>
      <c r="Q212" s="407"/>
      <c r="R212" s="407"/>
      <c r="S212" s="407"/>
      <c r="T212" s="407">
        <v>1827951.0270044717</v>
      </c>
      <c r="U212" s="407">
        <v>1946093.92820378</v>
      </c>
      <c r="V212" s="407">
        <v>2199926.47820378</v>
      </c>
    </row>
    <row r="213" spans="2:22" ht="15" customHeight="1" x14ac:dyDescent="0.35">
      <c r="B213" s="60"/>
      <c r="C213" s="60"/>
      <c r="D213" s="60"/>
      <c r="J213" s="70"/>
      <c r="O213" s="406" t="s">
        <v>155</v>
      </c>
      <c r="P213" s="407">
        <f t="shared" ref="P213:V213" si="37">SUM(P208:P212)</f>
        <v>16748850</v>
      </c>
      <c r="Q213" s="407">
        <f t="shared" si="37"/>
        <v>21237797.860371232</v>
      </c>
      <c r="R213" s="407">
        <f t="shared" si="37"/>
        <v>27630807.171854038</v>
      </c>
      <c r="S213" s="407">
        <f t="shared" si="37"/>
        <v>30756427.472194687</v>
      </c>
      <c r="T213" s="407">
        <f t="shared" si="37"/>
        <v>31466661.418601517</v>
      </c>
      <c r="U213" s="407">
        <f t="shared" si="37"/>
        <v>31570086.944498565</v>
      </c>
      <c r="V213" s="407">
        <f t="shared" si="37"/>
        <v>31820653.494498566</v>
      </c>
    </row>
    <row r="214" spans="2:22" ht="15" customHeight="1" x14ac:dyDescent="0.25">
      <c r="B214" s="60"/>
      <c r="C214" s="60"/>
      <c r="D214" s="60"/>
      <c r="J214" s="70"/>
    </row>
    <row r="215" spans="2:22" ht="15" customHeight="1" x14ac:dyDescent="0.25">
      <c r="B215" s="60"/>
      <c r="C215" s="60"/>
      <c r="D215" s="60"/>
      <c r="J215" s="70"/>
      <c r="O215" s="403" t="s">
        <v>270</v>
      </c>
    </row>
    <row r="216" spans="2:22" ht="15" customHeight="1" x14ac:dyDescent="0.3">
      <c r="B216" s="60"/>
      <c r="C216" s="60"/>
      <c r="D216" s="60"/>
      <c r="J216" s="70"/>
      <c r="O216" s="409" t="s">
        <v>65</v>
      </c>
      <c r="P216" s="410" t="s">
        <v>98</v>
      </c>
      <c r="Q216" s="410" t="s">
        <v>263</v>
      </c>
      <c r="R216" s="410" t="s">
        <v>264</v>
      </c>
      <c r="S216" s="410" t="s">
        <v>57</v>
      </c>
    </row>
    <row r="217" spans="2:22" ht="15" customHeight="1" x14ac:dyDescent="0.3">
      <c r="B217" s="60"/>
      <c r="C217" s="60"/>
      <c r="D217" s="60"/>
      <c r="J217" s="70"/>
      <c r="L217" s="66"/>
      <c r="O217" s="411" t="s">
        <v>265</v>
      </c>
      <c r="P217" s="412">
        <v>19861.168113020118</v>
      </c>
      <c r="Q217" s="412">
        <v>107438.56857965494</v>
      </c>
      <c r="R217" s="412">
        <v>972663.50240921509</v>
      </c>
      <c r="S217" s="413">
        <v>1099963.2391018902</v>
      </c>
    </row>
    <row r="218" spans="2:22" ht="15" customHeight="1" x14ac:dyDescent="0.3">
      <c r="B218" s="60"/>
      <c r="C218" s="60"/>
      <c r="D218" s="60"/>
      <c r="J218" s="70"/>
      <c r="O218" s="411" t="s">
        <v>266</v>
      </c>
      <c r="P218" s="412">
        <v>0</v>
      </c>
      <c r="Q218" s="412">
        <v>0</v>
      </c>
      <c r="R218" s="412">
        <v>-777539</v>
      </c>
      <c r="S218" s="413">
        <v>-777539</v>
      </c>
    </row>
    <row r="219" spans="2:22" ht="15" customHeight="1" x14ac:dyDescent="0.3">
      <c r="B219" s="60"/>
      <c r="C219" s="60"/>
      <c r="D219" s="60"/>
      <c r="J219" s="70"/>
      <c r="O219" s="411" t="s">
        <v>10</v>
      </c>
      <c r="P219" s="412">
        <v>19861.168113020118</v>
      </c>
      <c r="Q219" s="412">
        <v>107438.56857965494</v>
      </c>
      <c r="R219" s="412">
        <v>195124.50240921509</v>
      </c>
      <c r="S219" s="413">
        <v>322424.23910189013</v>
      </c>
    </row>
    <row r="220" spans="2:22" ht="15" customHeight="1" x14ac:dyDescent="0.3">
      <c r="B220" s="60"/>
      <c r="C220" s="60"/>
      <c r="D220" s="60"/>
      <c r="J220" s="70"/>
      <c r="O220" s="411"/>
      <c r="P220" s="412"/>
      <c r="Q220" s="412"/>
      <c r="R220" s="412"/>
      <c r="S220" s="413"/>
    </row>
    <row r="221" spans="2:22" ht="15" customHeight="1" x14ac:dyDescent="0.3">
      <c r="B221" s="60"/>
      <c r="C221" s="60"/>
      <c r="D221" s="60"/>
      <c r="E221" s="70"/>
      <c r="F221" s="70"/>
      <c r="G221" s="70"/>
      <c r="H221" s="70"/>
      <c r="I221" s="70"/>
      <c r="J221" s="70"/>
      <c r="O221" s="411" t="s">
        <v>267</v>
      </c>
      <c r="P221" s="412">
        <v>0</v>
      </c>
      <c r="Q221" s="412">
        <v>0</v>
      </c>
      <c r="R221" s="412">
        <v>2322262</v>
      </c>
      <c r="S221" s="413">
        <v>2322262</v>
      </c>
    </row>
    <row r="222" spans="2:22" ht="15" customHeight="1" x14ac:dyDescent="0.3">
      <c r="B222" s="60"/>
      <c r="C222" s="60"/>
      <c r="D222" s="60"/>
      <c r="E222" s="70"/>
      <c r="F222" s="70"/>
      <c r="G222" s="70"/>
      <c r="H222" s="70"/>
      <c r="I222" s="70"/>
      <c r="J222" s="70"/>
      <c r="O222" s="411" t="s">
        <v>268</v>
      </c>
      <c r="P222" s="412">
        <v>19861.168113020118</v>
      </c>
      <c r="Q222" s="412">
        <v>107438.56857965494</v>
      </c>
      <c r="R222" s="412">
        <v>2517386.5024092151</v>
      </c>
      <c r="S222" s="413">
        <v>2644686.23910189</v>
      </c>
    </row>
    <row r="223" spans="2:22" ht="15" customHeight="1" x14ac:dyDescent="0.3">
      <c r="B223" s="60"/>
      <c r="C223" s="60"/>
      <c r="D223" s="60"/>
      <c r="E223" s="70"/>
      <c r="F223" s="70"/>
      <c r="G223" s="70"/>
      <c r="H223" s="70"/>
      <c r="I223" s="70"/>
      <c r="J223" s="70"/>
      <c r="O223" s="411"/>
      <c r="P223" s="412"/>
      <c r="Q223" s="412"/>
      <c r="R223" s="412"/>
      <c r="S223" s="413"/>
    </row>
    <row r="224" spans="2:22" ht="15" customHeight="1" x14ac:dyDescent="0.3">
      <c r="B224" s="60"/>
      <c r="C224" s="60"/>
      <c r="D224" s="60"/>
      <c r="E224" s="70"/>
      <c r="F224" s="70"/>
      <c r="G224" s="70"/>
      <c r="H224" s="70"/>
      <c r="I224" s="70"/>
      <c r="J224" s="70"/>
      <c r="O224" s="411" t="s">
        <v>269</v>
      </c>
      <c r="P224" s="412">
        <v>0</v>
      </c>
      <c r="Q224" s="412">
        <v>0</v>
      </c>
      <c r="R224" s="412">
        <v>1371.647090189995</v>
      </c>
      <c r="S224" s="413">
        <v>1371.647090189995</v>
      </c>
    </row>
    <row r="225" spans="2:22" ht="15" customHeight="1" x14ac:dyDescent="0.3">
      <c r="B225" s="60"/>
      <c r="C225" s="60"/>
      <c r="D225" s="60"/>
      <c r="E225" s="70"/>
      <c r="F225" s="70"/>
      <c r="G225" s="70"/>
      <c r="H225" s="70"/>
      <c r="I225" s="70"/>
      <c r="J225" s="70"/>
      <c r="O225" s="411" t="s">
        <v>266</v>
      </c>
      <c r="P225" s="412">
        <v>0</v>
      </c>
      <c r="Q225" s="412">
        <v>0</v>
      </c>
      <c r="R225" s="412">
        <v>-990</v>
      </c>
      <c r="S225" s="413">
        <v>-990</v>
      </c>
    </row>
    <row r="226" spans="2:22" ht="15" customHeight="1" x14ac:dyDescent="0.3">
      <c r="B226" s="60"/>
      <c r="C226" s="60"/>
      <c r="D226" s="60"/>
      <c r="E226" s="70"/>
      <c r="F226" s="70"/>
      <c r="G226" s="70"/>
      <c r="H226" s="70"/>
      <c r="I226" s="70"/>
      <c r="J226" s="70"/>
      <c r="O226" s="411" t="s">
        <v>10</v>
      </c>
      <c r="P226" s="412">
        <v>0</v>
      </c>
      <c r="Q226" s="412">
        <v>0</v>
      </c>
      <c r="R226" s="412">
        <v>381.64709018999497</v>
      </c>
      <c r="S226" s="413">
        <v>381.64709018999497</v>
      </c>
    </row>
    <row r="227" spans="2:22" ht="15" customHeight="1" x14ac:dyDescent="0.25">
      <c r="B227" s="60"/>
      <c r="C227" s="60"/>
      <c r="D227" s="60"/>
      <c r="E227" s="70"/>
      <c r="F227" s="70"/>
      <c r="G227" s="70"/>
      <c r="H227" s="70"/>
      <c r="I227" s="70"/>
      <c r="J227" s="70"/>
      <c r="O227"/>
    </row>
    <row r="228" spans="2:22" ht="15" customHeight="1" x14ac:dyDescent="0.25">
      <c r="B228" s="60"/>
      <c r="C228" s="60"/>
      <c r="D228" s="60"/>
      <c r="E228" s="70"/>
      <c r="F228" s="70"/>
      <c r="G228" s="70"/>
      <c r="H228" s="70"/>
      <c r="I228" s="70"/>
      <c r="J228" s="70"/>
      <c r="O228"/>
    </row>
    <row r="229" spans="2:22" ht="15" customHeight="1" x14ac:dyDescent="0.25">
      <c r="B229" s="60"/>
      <c r="C229" s="60"/>
      <c r="D229" s="60"/>
      <c r="E229" s="70"/>
      <c r="F229" s="70"/>
      <c r="G229" s="70"/>
      <c r="H229" s="70"/>
      <c r="I229" s="70"/>
      <c r="J229" s="70"/>
      <c r="O229" s="242"/>
      <c r="P229" s="242"/>
      <c r="Q229" s="243"/>
      <c r="R229" s="243"/>
      <c r="S229" s="243"/>
      <c r="T229" s="243"/>
      <c r="U229" s="243"/>
      <c r="V229"/>
    </row>
    <row r="230" spans="2:22" ht="15" customHeight="1" x14ac:dyDescent="0.25">
      <c r="B230" s="60"/>
      <c r="C230" s="60"/>
      <c r="D230" s="60"/>
      <c r="E230" s="70"/>
      <c r="F230" s="70"/>
      <c r="G230" s="70"/>
      <c r="H230" s="70"/>
      <c r="I230" s="70"/>
      <c r="J230" s="70"/>
      <c r="O230" s="242"/>
      <c r="P230" s="242"/>
      <c r="Q230" s="243"/>
      <c r="R230" s="243"/>
      <c r="S230" s="243"/>
      <c r="T230" s="243"/>
      <c r="U230" s="243"/>
      <c r="V230"/>
    </row>
    <row r="231" spans="2:22" ht="15" customHeight="1" x14ac:dyDescent="0.25">
      <c r="B231" s="403" t="s">
        <v>271</v>
      </c>
      <c r="C231" s="61"/>
      <c r="D231" s="61"/>
      <c r="E231" s="73"/>
      <c r="F231" s="73"/>
      <c r="G231" s="73"/>
      <c r="H231" s="73"/>
      <c r="I231" s="73"/>
      <c r="J231" s="73"/>
    </row>
    <row r="232" spans="2:22" ht="31.5" x14ac:dyDescent="0.25">
      <c r="B232" s="298" t="s">
        <v>65</v>
      </c>
      <c r="C232" s="296"/>
      <c r="D232" s="296"/>
      <c r="E232" s="244" t="str">
        <f t="shared" ref="E232:K232" si="38">E202</f>
        <v xml:space="preserve">Residential </v>
      </c>
      <c r="F232" s="244" t="str">
        <f t="shared" si="38"/>
        <v>General Service &lt; 50 kW</v>
      </c>
      <c r="G232" s="244" t="str">
        <f t="shared" si="38"/>
        <v>General Service 50 to 2999 kW</v>
      </c>
      <c r="H232" s="244" t="str">
        <f t="shared" si="38"/>
        <v>General Service 3000 to 4999 kW</v>
      </c>
      <c r="I232" s="244" t="str">
        <f t="shared" si="38"/>
        <v>Street Lighting</v>
      </c>
      <c r="J232" s="244" t="str">
        <f t="shared" si="38"/>
        <v>Sentinel Lighting</v>
      </c>
      <c r="K232" s="244" t="str">
        <f t="shared" si="38"/>
        <v xml:space="preserve">Unmetered Scattered Load </v>
      </c>
      <c r="L232" s="244" t="s">
        <v>57</v>
      </c>
    </row>
    <row r="233" spans="2:22" ht="15" customHeight="1" x14ac:dyDescent="0.25">
      <c r="B233" s="217" t="s">
        <v>91</v>
      </c>
      <c r="C233" s="110"/>
      <c r="D233" s="110"/>
      <c r="E233" s="110"/>
      <c r="F233" s="110"/>
      <c r="G233" s="110"/>
      <c r="H233" s="110"/>
      <c r="I233" s="110"/>
      <c r="J233" s="110"/>
      <c r="K233" s="110"/>
      <c r="L233" s="104"/>
    </row>
    <row r="234" spans="2:22" ht="15" customHeight="1" x14ac:dyDescent="0.25">
      <c r="B234" s="106" t="str">
        <f>B198</f>
        <v>2020 (Not Normalized)</v>
      </c>
      <c r="C234" s="303"/>
      <c r="D234" s="303"/>
      <c r="E234" s="216">
        <f t="shared" ref="E234:K235" si="39">E198</f>
        <v>201.17524748469947</v>
      </c>
      <c r="F234" s="216">
        <f t="shared" si="39"/>
        <v>80.332664262872498</v>
      </c>
      <c r="G234" s="216">
        <f t="shared" si="39"/>
        <v>199.33018673292099</v>
      </c>
      <c r="H234" s="216">
        <f t="shared" si="39"/>
        <v>14.897243509943134</v>
      </c>
      <c r="I234" s="216">
        <f t="shared" si="39"/>
        <v>2.0343285282138637</v>
      </c>
      <c r="J234" s="216">
        <f t="shared" si="39"/>
        <v>0.11977832115107913</v>
      </c>
      <c r="K234" s="253">
        <f t="shared" si="39"/>
        <v>3.9489699999999996E-2</v>
      </c>
      <c r="L234" s="216">
        <f>SUM(E234:K234)</f>
        <v>497.92893853980098</v>
      </c>
    </row>
    <row r="235" spans="2:22" ht="15" customHeight="1" x14ac:dyDescent="0.25">
      <c r="B235" s="106" t="str">
        <f>B199</f>
        <v>2021 (Not Normalized)</v>
      </c>
      <c r="C235" s="112"/>
      <c r="D235" s="112"/>
      <c r="E235" s="216">
        <f t="shared" si="39"/>
        <v>204.55888203125903</v>
      </c>
      <c r="F235" s="216">
        <f t="shared" si="39"/>
        <v>80.255127579103217</v>
      </c>
      <c r="G235" s="216">
        <f t="shared" si="39"/>
        <v>198.68371636222622</v>
      </c>
      <c r="H235" s="216">
        <f t="shared" si="39"/>
        <v>14.455053985684081</v>
      </c>
      <c r="I235" s="216">
        <f t="shared" si="39"/>
        <v>2.0322903804497572</v>
      </c>
      <c r="J235" s="216">
        <f t="shared" si="39"/>
        <v>0.11742972661870504</v>
      </c>
      <c r="K235" s="253">
        <f t="shared" si="39"/>
        <v>3.9489699999999996E-2</v>
      </c>
      <c r="L235" s="216">
        <f>SUM(E235:K235)</f>
        <v>500.14198976534095</v>
      </c>
    </row>
    <row r="236" spans="2:22" ht="15" customHeight="1" x14ac:dyDescent="0.25">
      <c r="B236" s="217" t="s">
        <v>92</v>
      </c>
      <c r="C236" s="110"/>
      <c r="D236" s="110"/>
      <c r="E236" s="110"/>
      <c r="F236" s="110"/>
      <c r="G236" s="110"/>
      <c r="H236" s="110"/>
      <c r="I236" s="110"/>
      <c r="J236" s="110"/>
      <c r="K236" s="254"/>
      <c r="L236" s="104"/>
    </row>
    <row r="237" spans="2:22" ht="15" customHeight="1" x14ac:dyDescent="0.25">
      <c r="B237" s="423">
        <f>B192</f>
        <v>2020</v>
      </c>
      <c r="C237" s="424"/>
      <c r="D237" s="425"/>
      <c r="E237" s="218">
        <f>'Rate Class Energy Model'!H80/1000000</f>
        <v>-1.4731695656947041</v>
      </c>
      <c r="F237" s="218">
        <f>'Rate Class Energy Model'!I80/1000000</f>
        <v>-0.58826141686359856</v>
      </c>
      <c r="G237" s="218">
        <f>'Rate Class Energy Model'!J80/1000000</f>
        <v>-1.3092014137574508</v>
      </c>
      <c r="H237" s="218">
        <f>'Rate Class Energy Model'!K80/1000000</f>
        <v>0</v>
      </c>
      <c r="I237" s="218">
        <f>'Rate Class Energy Model'!L80/1000000</f>
        <v>0</v>
      </c>
      <c r="J237" s="218">
        <f>'Rate Class Energy Model'!M80/1000000</f>
        <v>0</v>
      </c>
      <c r="K237" s="253">
        <f>'Rate Class Energy Model'!N80/1000000</f>
        <v>0</v>
      </c>
      <c r="L237" s="218">
        <f>SUM(E237:K237)</f>
        <v>-3.3706323963157536</v>
      </c>
    </row>
    <row r="238" spans="2:22" ht="15" customHeight="1" x14ac:dyDescent="0.25">
      <c r="B238" s="423">
        <f>B193</f>
        <v>2021</v>
      </c>
      <c r="C238" s="424"/>
      <c r="D238" s="425"/>
      <c r="E238" s="218">
        <f>'Rate Class Energy Model'!H81/1000000</f>
        <v>-2.8339099722213055</v>
      </c>
      <c r="F238" s="218">
        <f>'Rate Class Energy Model'!I81/1000000</f>
        <v>-1.1118353997141948</v>
      </c>
      <c r="G238" s="218">
        <f>'Rate Class Energy Model'!J81/1000000</f>
        <v>-2.468795862691747</v>
      </c>
      <c r="H238" s="218">
        <f>'Rate Class Energy Model'!K81/1000000</f>
        <v>0</v>
      </c>
      <c r="I238" s="218">
        <f>'Rate Class Energy Model'!L81/1000000</f>
        <v>0</v>
      </c>
      <c r="J238" s="218">
        <f>'Rate Class Energy Model'!M81/1000000</f>
        <v>0</v>
      </c>
      <c r="K238" s="253">
        <f>'Rate Class Energy Model'!N81/1000000</f>
        <v>0</v>
      </c>
      <c r="L238" s="218">
        <f>SUM(E238:K238)</f>
        <v>-6.4145412346272472</v>
      </c>
    </row>
    <row r="239" spans="2:22" ht="15" customHeight="1" x14ac:dyDescent="0.25">
      <c r="B239" s="217" t="s">
        <v>115</v>
      </c>
      <c r="C239" s="110"/>
      <c r="D239" s="110"/>
      <c r="E239" s="110"/>
      <c r="F239" s="110"/>
      <c r="G239" s="110"/>
      <c r="H239" s="110"/>
      <c r="I239" s="110"/>
      <c r="J239" s="110"/>
      <c r="K239" s="254"/>
      <c r="L239" s="104"/>
    </row>
    <row r="240" spans="2:22" ht="15" customHeight="1" x14ac:dyDescent="0.25">
      <c r="B240" s="423">
        <f>B237</f>
        <v>2020</v>
      </c>
      <c r="C240" s="424"/>
      <c r="D240" s="425"/>
      <c r="E240" s="219">
        <f>-'Rate Class Energy Model'!H83/1000000</f>
        <v>-1.9861E-2</v>
      </c>
      <c r="F240" s="219">
        <f>-'Rate Class Energy Model'!I83/1000000</f>
        <v>-0.10743900000000001</v>
      </c>
      <c r="G240" s="219">
        <f>-'Rate Class Energy Model'!J83/1000000</f>
        <v>-2.5173869999999998</v>
      </c>
      <c r="H240" s="219">
        <f>-'Rate Class Energy Model'!K83/1000000</f>
        <v>0</v>
      </c>
      <c r="I240" s="219">
        <f>-'Rate Class Energy Model'!L83/1000000</f>
        <v>0</v>
      </c>
      <c r="J240" s="219">
        <f>-'Rate Class Energy Model'!M83/1000000</f>
        <v>0</v>
      </c>
      <c r="K240" s="253">
        <f>-'Rate Class Energy Model'!N83/1000000</f>
        <v>0</v>
      </c>
      <c r="L240" s="218">
        <f>SUM(E240:K240)</f>
        <v>-2.6446869999999998</v>
      </c>
    </row>
    <row r="241" spans="2:14" ht="15" customHeight="1" x14ac:dyDescent="0.25">
      <c r="B241" s="423">
        <f>B238</f>
        <v>2021</v>
      </c>
      <c r="C241" s="424"/>
      <c r="D241" s="425"/>
      <c r="E241" s="219">
        <f>-'Rate Class Energy Model'!H84/1000000</f>
        <v>-1.9861E-2</v>
      </c>
      <c r="F241" s="219">
        <f>-'Rate Class Energy Model'!I84/1000000</f>
        <v>-0.10743900000000001</v>
      </c>
      <c r="G241" s="219">
        <f>-'Rate Class Energy Model'!J84/1000000</f>
        <v>-2.5173869999999998</v>
      </c>
      <c r="H241" s="219">
        <f>-'Rate Class Energy Model'!K84/1000000</f>
        <v>0</v>
      </c>
      <c r="I241" s="219">
        <f>-'Rate Class Energy Model'!L84/1000000</f>
        <v>0</v>
      </c>
      <c r="J241" s="219">
        <f>-'Rate Class Energy Model'!M84/1000000</f>
        <v>0</v>
      </c>
      <c r="K241" s="253">
        <f>-'Rate Class Energy Model'!N84/1000000</f>
        <v>0</v>
      </c>
      <c r="L241" s="218">
        <f>SUM(E241:K241)</f>
        <v>-2.6446869999999998</v>
      </c>
    </row>
    <row r="242" spans="2:14" ht="15" customHeight="1" x14ac:dyDescent="0.25">
      <c r="B242" s="217" t="s">
        <v>93</v>
      </c>
      <c r="C242" s="110"/>
      <c r="D242" s="110"/>
      <c r="E242" s="110"/>
      <c r="F242" s="110"/>
      <c r="G242" s="110"/>
      <c r="H242" s="110"/>
      <c r="I242" s="110"/>
      <c r="J242" s="110"/>
      <c r="K242" s="110"/>
      <c r="L242" s="104"/>
    </row>
    <row r="243" spans="2:14" ht="15" customHeight="1" x14ac:dyDescent="0.25">
      <c r="B243" s="423" t="str">
        <f>B120</f>
        <v>2020 Bridge - Normalized</v>
      </c>
      <c r="C243" s="424"/>
      <c r="D243" s="425"/>
      <c r="E243" s="219">
        <f t="shared" ref="E243:L244" si="40">E234+E237+E240</f>
        <v>199.68221691900476</v>
      </c>
      <c r="F243" s="219">
        <f t="shared" si="40"/>
        <v>79.636963846008896</v>
      </c>
      <c r="G243" s="219">
        <f t="shared" si="40"/>
        <v>195.50359831916353</v>
      </c>
      <c r="H243" s="219">
        <f t="shared" si="40"/>
        <v>14.897243509943134</v>
      </c>
      <c r="I243" s="219">
        <f t="shared" si="40"/>
        <v>2.0343285282138637</v>
      </c>
      <c r="J243" s="219">
        <f t="shared" si="40"/>
        <v>0.11977832115107913</v>
      </c>
      <c r="K243" s="219">
        <f t="shared" si="40"/>
        <v>3.9489699999999996E-2</v>
      </c>
      <c r="L243" s="219">
        <f t="shared" si="40"/>
        <v>491.91361914348528</v>
      </c>
    </row>
    <row r="244" spans="2:14" ht="10" x14ac:dyDescent="0.25">
      <c r="B244" s="423" t="str">
        <f>B121</f>
        <v>2021 Test - Normalized</v>
      </c>
      <c r="C244" s="424"/>
      <c r="D244" s="425"/>
      <c r="E244" s="219">
        <f t="shared" si="40"/>
        <v>201.70511105903773</v>
      </c>
      <c r="F244" s="219">
        <f t="shared" si="40"/>
        <v>79.035853179389022</v>
      </c>
      <c r="G244" s="219">
        <f t="shared" si="40"/>
        <v>193.69753349953447</v>
      </c>
      <c r="H244" s="219">
        <f t="shared" si="40"/>
        <v>14.455053985684081</v>
      </c>
      <c r="I244" s="219">
        <f t="shared" si="40"/>
        <v>2.0322903804497572</v>
      </c>
      <c r="J244" s="219">
        <f t="shared" si="40"/>
        <v>0.11742972661870504</v>
      </c>
      <c r="K244" s="219">
        <f t="shared" si="40"/>
        <v>3.9489699999999996E-2</v>
      </c>
      <c r="L244" s="219">
        <f t="shared" si="40"/>
        <v>491.08276153071375</v>
      </c>
      <c r="N244" s="98"/>
    </row>
    <row r="245" spans="2:14" ht="15" customHeight="1" x14ac:dyDescent="0.25">
      <c r="B245" s="86"/>
      <c r="C245" s="86"/>
      <c r="D245" s="86"/>
      <c r="E245" s="71"/>
      <c r="F245" s="71"/>
      <c r="G245" s="71"/>
      <c r="H245" s="71"/>
      <c r="I245" s="71"/>
      <c r="J245" s="71"/>
      <c r="K245" s="69"/>
    </row>
    <row r="246" spans="2:14" ht="15" customHeight="1" x14ac:dyDescent="0.25">
      <c r="B246" s="403" t="s">
        <v>272</v>
      </c>
      <c r="C246" s="61"/>
      <c r="D246" s="61"/>
      <c r="E246" s="73"/>
      <c r="F246" s="73"/>
      <c r="G246" s="73"/>
      <c r="H246" s="73"/>
      <c r="I246" s="73"/>
      <c r="J246" s="73"/>
      <c r="M246" s="331"/>
    </row>
    <row r="247" spans="2:14" ht="31.5" x14ac:dyDescent="0.25">
      <c r="B247" s="246" t="s">
        <v>65</v>
      </c>
      <c r="C247" s="247"/>
      <c r="D247" s="247"/>
      <c r="E247" s="248" t="str">
        <f>G232</f>
        <v>General Service 50 to 2999 kW</v>
      </c>
      <c r="F247" s="248" t="str">
        <f>H232</f>
        <v>General Service 3000 to 4999 kW</v>
      </c>
      <c r="G247" s="248" t="str">
        <f>I232</f>
        <v>Street Lighting</v>
      </c>
      <c r="H247" s="244" t="str">
        <f>J232</f>
        <v>Sentinel Lighting</v>
      </c>
      <c r="I247" s="244" t="str">
        <f>L232</f>
        <v>TOTAL</v>
      </c>
    </row>
    <row r="248" spans="2:14" ht="15" customHeight="1" x14ac:dyDescent="0.25">
      <c r="B248" s="99" t="s">
        <v>94</v>
      </c>
      <c r="C248" s="100"/>
      <c r="D248" s="100"/>
      <c r="E248" s="100"/>
      <c r="F248" s="100"/>
      <c r="G248" s="100"/>
      <c r="H248" s="100"/>
      <c r="I248" s="101"/>
    </row>
    <row r="249" spans="2:14" ht="15" customHeight="1" x14ac:dyDescent="0.25">
      <c r="B249" s="106">
        <f>'Exhibit 3 Tables'!B177</f>
        <v>2010</v>
      </c>
      <c r="C249" s="107"/>
      <c r="D249" s="107"/>
      <c r="E249" s="108">
        <f>'Rate Class Load Model'!B13</f>
        <v>588203.21</v>
      </c>
      <c r="F249" s="108">
        <f>'Rate Class Load Model'!C13</f>
        <v>78059.55</v>
      </c>
      <c r="G249" s="108">
        <f>'Rate Class Load Model'!D13</f>
        <v>9284.76</v>
      </c>
      <c r="H249" s="108">
        <f>'Rate Class Load Model'!E13</f>
        <v>1541.04</v>
      </c>
      <c r="I249" s="64">
        <f t="shared" ref="I249:I258" si="41">SUM(E249:H249)</f>
        <v>677088.56</v>
      </c>
      <c r="K249" s="65"/>
      <c r="M249" s="65"/>
    </row>
    <row r="250" spans="2:14" ht="15" customHeight="1" x14ac:dyDescent="0.25">
      <c r="B250" s="106">
        <f>'Exhibit 3 Tables'!B178</f>
        <v>2011</v>
      </c>
      <c r="C250" s="107"/>
      <c r="D250" s="107"/>
      <c r="E250" s="108">
        <f>'Rate Class Load Model'!B14</f>
        <v>582945.86</v>
      </c>
      <c r="F250" s="108">
        <f>'Rate Class Load Model'!C14</f>
        <v>70473.350000000006</v>
      </c>
      <c r="G250" s="108">
        <f>'Rate Class Load Model'!D14</f>
        <v>9041.75</v>
      </c>
      <c r="H250" s="108">
        <f>'Rate Class Load Model'!E14</f>
        <v>1286.7100000000016</v>
      </c>
      <c r="I250" s="64">
        <f t="shared" si="41"/>
        <v>663747.66999999993</v>
      </c>
      <c r="K250" s="65"/>
      <c r="M250" s="65"/>
    </row>
    <row r="251" spans="2:14" ht="15" customHeight="1" x14ac:dyDescent="0.25">
      <c r="B251" s="106">
        <f>'Exhibit 3 Tables'!B179</f>
        <v>2012</v>
      </c>
      <c r="C251" s="107"/>
      <c r="D251" s="107"/>
      <c r="E251" s="108">
        <f>'Rate Class Load Model'!B15</f>
        <v>540969</v>
      </c>
      <c r="F251" s="108">
        <f>'Rate Class Load Model'!C15</f>
        <v>68480</v>
      </c>
      <c r="G251" s="108">
        <f>'Rate Class Load Model'!D15</f>
        <v>7788</v>
      </c>
      <c r="H251" s="108">
        <f>'Rate Class Load Model'!E15</f>
        <v>1601</v>
      </c>
      <c r="I251" s="64">
        <f t="shared" si="41"/>
        <v>618838</v>
      </c>
      <c r="K251" s="65"/>
      <c r="M251" s="65"/>
    </row>
    <row r="252" spans="2:14" ht="15" customHeight="1" x14ac:dyDescent="0.25">
      <c r="B252" s="106">
        <f>'Exhibit 3 Tables'!B180</f>
        <v>2013</v>
      </c>
      <c r="C252" s="107"/>
      <c r="D252" s="107"/>
      <c r="E252" s="108">
        <f>'Rate Class Load Model'!B16</f>
        <v>535312.51999999979</v>
      </c>
      <c r="F252" s="108">
        <f>'Rate Class Load Model'!C16</f>
        <v>69448.33</v>
      </c>
      <c r="G252" s="108">
        <f>'Rate Class Load Model'!D16</f>
        <v>6559.4</v>
      </c>
      <c r="H252" s="108">
        <f>'Rate Class Load Model'!E16</f>
        <v>1224.070000000002</v>
      </c>
      <c r="I252" s="64">
        <f t="shared" si="41"/>
        <v>612544.31999999972</v>
      </c>
      <c r="K252" s="65"/>
      <c r="M252" s="65"/>
    </row>
    <row r="253" spans="2:14" ht="15" customHeight="1" x14ac:dyDescent="0.25">
      <c r="B253" s="106">
        <f>'Exhibit 3 Tables'!B181</f>
        <v>2014</v>
      </c>
      <c r="C253" s="107"/>
      <c r="D253" s="107"/>
      <c r="E253" s="108">
        <f>'Rate Class Load Model'!B17</f>
        <v>533378.05000000005</v>
      </c>
      <c r="F253" s="108">
        <f>'Rate Class Load Model'!C17</f>
        <v>54354.869999999995</v>
      </c>
      <c r="G253" s="108">
        <f>'Rate Class Load Model'!D17</f>
        <v>5677.1200000000008</v>
      </c>
      <c r="H253" s="108">
        <f>'Rate Class Load Model'!E17</f>
        <v>1178.6100000000022</v>
      </c>
      <c r="I253" s="64">
        <f t="shared" si="41"/>
        <v>594588.65</v>
      </c>
      <c r="K253" s="65"/>
      <c r="M253" s="65"/>
    </row>
    <row r="254" spans="2:14" ht="15" customHeight="1" x14ac:dyDescent="0.25">
      <c r="B254" s="106">
        <f>'Exhibit 3 Tables'!B182</f>
        <v>2015</v>
      </c>
      <c r="C254" s="107"/>
      <c r="D254" s="107"/>
      <c r="E254" s="108">
        <f>'Rate Class Load Model'!B18</f>
        <v>537897.68000000017</v>
      </c>
      <c r="F254" s="108">
        <f>'Rate Class Load Model'!C18</f>
        <v>39466.039999999994</v>
      </c>
      <c r="G254" s="108">
        <f>'Rate Class Load Model'!D18</f>
        <v>5690.27</v>
      </c>
      <c r="H254" s="108">
        <f>'Rate Class Load Model'!E18</f>
        <v>1033.7400000000014</v>
      </c>
      <c r="I254" s="64">
        <f t="shared" si="41"/>
        <v>584087.73000000021</v>
      </c>
      <c r="K254" s="65"/>
      <c r="M254" s="65"/>
    </row>
    <row r="255" spans="2:14" ht="15" customHeight="1" x14ac:dyDescent="0.25">
      <c r="B255" s="106">
        <f>'Exhibit 3 Tables'!B183</f>
        <v>2016</v>
      </c>
      <c r="C255" s="107"/>
      <c r="D255" s="107"/>
      <c r="E255" s="108">
        <f>'Rate Class Load Model'!B19</f>
        <v>529360.3600000001</v>
      </c>
      <c r="F255" s="108">
        <f>'Rate Class Load Model'!C19</f>
        <v>35717.369999999995</v>
      </c>
      <c r="G255" s="108">
        <f>'Rate Class Load Model'!D19</f>
        <v>5690.28</v>
      </c>
      <c r="H255" s="108">
        <f>'Rate Class Load Model'!E19</f>
        <v>406.11999999999938</v>
      </c>
      <c r="I255" s="64">
        <f t="shared" si="41"/>
        <v>571174.13000000012</v>
      </c>
      <c r="K255" s="65"/>
      <c r="M255" s="65"/>
    </row>
    <row r="256" spans="2:14" ht="15" customHeight="1" x14ac:dyDescent="0.25">
      <c r="B256" s="106">
        <f>'Exhibit 3 Tables'!B184</f>
        <v>2017</v>
      </c>
      <c r="C256" s="107"/>
      <c r="D256" s="107"/>
      <c r="E256" s="108">
        <f>'Rate Class Load Model'!B20</f>
        <v>528741.1399999999</v>
      </c>
      <c r="F256" s="108">
        <f>'Rate Class Load Model'!C20</f>
        <v>30516.22</v>
      </c>
      <c r="G256" s="108">
        <f>'Rate Class Load Model'!D20</f>
        <v>5690.28</v>
      </c>
      <c r="H256" s="108">
        <f>'Rate Class Load Model'!E20</f>
        <v>329.73999999999944</v>
      </c>
      <c r="I256" s="64">
        <f t="shared" si="41"/>
        <v>565277.37999999989</v>
      </c>
      <c r="K256" s="65"/>
      <c r="M256" s="65"/>
    </row>
    <row r="257" spans="2:13" ht="15" customHeight="1" x14ac:dyDescent="0.25">
      <c r="B257" s="106">
        <f>'Exhibit 3 Tables'!B185</f>
        <v>2018</v>
      </c>
      <c r="C257" s="107"/>
      <c r="D257" s="107"/>
      <c r="E257" s="108">
        <f>'Rate Class Load Model'!B21</f>
        <v>522247.32</v>
      </c>
      <c r="F257" s="108">
        <f>'Rate Class Load Model'!C21</f>
        <v>30271.190000000002</v>
      </c>
      <c r="G257" s="108">
        <f>'Rate Class Load Model'!D21</f>
        <v>5690.28</v>
      </c>
      <c r="H257" s="108">
        <f>'Rate Class Load Model'!E21</f>
        <v>315.71999999999952</v>
      </c>
      <c r="I257" s="64">
        <f t="shared" si="41"/>
        <v>558524.51</v>
      </c>
      <c r="K257" s="65"/>
      <c r="M257" s="65"/>
    </row>
    <row r="258" spans="2:13" ht="15" customHeight="1" x14ac:dyDescent="0.25">
      <c r="B258" s="106">
        <f>'Exhibit 3 Tables'!B186</f>
        <v>2019</v>
      </c>
      <c r="C258" s="107"/>
      <c r="D258" s="107"/>
      <c r="E258" s="108">
        <f>'Rate Class Load Model'!B22</f>
        <v>523294.41</v>
      </c>
      <c r="F258" s="108">
        <f>'Rate Class Load Model'!C22</f>
        <v>29275.15</v>
      </c>
      <c r="G258" s="108">
        <f>'Rate Class Load Model'!D22</f>
        <v>5690.28</v>
      </c>
      <c r="H258" s="108">
        <f>'Rate Class Load Model'!E22</f>
        <v>310.34000000000003</v>
      </c>
      <c r="I258" s="64">
        <f t="shared" si="41"/>
        <v>558570.17999999993</v>
      </c>
      <c r="K258" s="65"/>
      <c r="M258" s="65"/>
    </row>
    <row r="259" spans="2:13" ht="15" customHeight="1" x14ac:dyDescent="0.25">
      <c r="B259" s="86"/>
      <c r="C259" s="86"/>
      <c r="D259" s="86"/>
      <c r="E259" s="68"/>
      <c r="F259" s="68"/>
      <c r="G259" s="68"/>
      <c r="H259" s="68"/>
    </row>
    <row r="260" spans="2:13" ht="15.75" customHeight="1" x14ac:dyDescent="0.25">
      <c r="B260" s="403" t="s">
        <v>273</v>
      </c>
      <c r="C260" s="61"/>
      <c r="D260" s="61"/>
      <c r="E260" s="73"/>
      <c r="F260" s="73"/>
      <c r="G260" s="73"/>
      <c r="H260" s="73"/>
    </row>
    <row r="261" spans="2:13" ht="31.5" x14ac:dyDescent="0.25">
      <c r="B261" s="298" t="s">
        <v>65</v>
      </c>
      <c r="C261" s="296"/>
      <c r="D261" s="296"/>
      <c r="E261" s="244" t="str">
        <f>E247</f>
        <v>General Service 50 to 2999 kW</v>
      </c>
      <c r="F261" s="244" t="str">
        <f>F247</f>
        <v>General Service 3000 to 4999 kW</v>
      </c>
      <c r="G261" s="244" t="str">
        <f>G247</f>
        <v>Street Lighting</v>
      </c>
      <c r="H261" s="244" t="str">
        <f>H247</f>
        <v>Sentinel Lighting</v>
      </c>
    </row>
    <row r="262" spans="2:13" ht="15" customHeight="1" x14ac:dyDescent="0.25">
      <c r="B262" s="99" t="s">
        <v>95</v>
      </c>
      <c r="C262" s="100"/>
      <c r="D262" s="100"/>
      <c r="E262" s="100"/>
      <c r="F262" s="100"/>
      <c r="G262" s="100"/>
      <c r="H262" s="101"/>
    </row>
    <row r="263" spans="2:13" ht="15" customHeight="1" x14ac:dyDescent="0.25">
      <c r="B263" s="106">
        <f t="shared" ref="B263:B272" si="42">B249</f>
        <v>2010</v>
      </c>
      <c r="C263" s="107"/>
      <c r="D263" s="107"/>
      <c r="E263" s="113">
        <f>'Rate Class Load Model'!B42</f>
        <v>2.5569857303286057E-3</v>
      </c>
      <c r="F263" s="113">
        <f>'Rate Class Load Model'!C42</f>
        <v>1.9025873182317073E-3</v>
      </c>
      <c r="G263" s="113">
        <f>'Rate Class Load Model'!D42</f>
        <v>2.7930893351157384E-3</v>
      </c>
      <c r="H263" s="113">
        <f>'Rate Class Load Model'!E42</f>
        <v>2.7063918380993779E-3</v>
      </c>
    </row>
    <row r="264" spans="2:13" ht="15" customHeight="1" x14ac:dyDescent="0.25">
      <c r="B264" s="106">
        <f t="shared" si="42"/>
        <v>2011</v>
      </c>
      <c r="C264" s="107"/>
      <c r="D264" s="107"/>
      <c r="E264" s="113">
        <f>'Rate Class Load Model'!B43</f>
        <v>2.5163054682211241E-3</v>
      </c>
      <c r="F264" s="113">
        <f>'Rate Class Load Model'!C43</f>
        <v>1.9002246499930132E-3</v>
      </c>
      <c r="G264" s="113">
        <f>'Rate Class Load Model'!D43</f>
        <v>2.821911309656568E-3</v>
      </c>
      <c r="H264" s="113">
        <f>'Rate Class Load Model'!E43</f>
        <v>2.6713843663505629E-3</v>
      </c>
    </row>
    <row r="265" spans="2:13" ht="15" customHeight="1" x14ac:dyDescent="0.25">
      <c r="B265" s="106">
        <f t="shared" si="42"/>
        <v>2012</v>
      </c>
      <c r="C265" s="107"/>
      <c r="D265" s="107"/>
      <c r="E265" s="113">
        <f>'Rate Class Load Model'!B44</f>
        <v>2.4184037792997757E-3</v>
      </c>
      <c r="F265" s="113">
        <f>'Rate Class Load Model'!C44</f>
        <v>1.9169845034718248E-3</v>
      </c>
      <c r="G265" s="113">
        <f>'Rate Class Load Model'!D44</f>
        <v>2.7911592603684565E-3</v>
      </c>
      <c r="H265" s="113">
        <f>'Rate Class Load Model'!E44</f>
        <v>3.2823554084001525E-3</v>
      </c>
    </row>
    <row r="266" spans="2:13" ht="15" customHeight="1" x14ac:dyDescent="0.25">
      <c r="B266" s="106">
        <f t="shared" si="42"/>
        <v>2013</v>
      </c>
      <c r="C266" s="107"/>
      <c r="D266" s="107"/>
      <c r="E266" s="113">
        <f>'Rate Class Load Model'!B45</f>
        <v>2.471268703813249E-3</v>
      </c>
      <c r="F266" s="113">
        <f>'Rate Class Load Model'!C45</f>
        <v>1.9412511676483778E-3</v>
      </c>
      <c r="G266" s="113">
        <f>'Rate Class Load Model'!D45</f>
        <v>2.7932924851604367E-3</v>
      </c>
      <c r="H266" s="113">
        <f>'Rate Class Load Model'!E45</f>
        <v>2.7572210621082138E-3</v>
      </c>
    </row>
    <row r="267" spans="2:13" ht="15" customHeight="1" x14ac:dyDescent="0.25">
      <c r="B267" s="106">
        <f t="shared" si="42"/>
        <v>2014</v>
      </c>
      <c r="C267" s="107"/>
      <c r="D267" s="107"/>
      <c r="E267" s="113">
        <f>'Rate Class Load Model'!B46</f>
        <v>2.4552909728602079E-3</v>
      </c>
      <c r="F267" s="113">
        <f>'Rate Class Load Model'!C46</f>
        <v>2.0186343312287754E-3</v>
      </c>
      <c r="G267" s="113">
        <f>'Rate Class Load Model'!D46</f>
        <v>2.8013498243573023E-3</v>
      </c>
      <c r="H267" s="113">
        <f>'Rate Class Load Model'!E46</f>
        <v>2.7797888189757276E-3</v>
      </c>
    </row>
    <row r="268" spans="2:13" ht="15" customHeight="1" x14ac:dyDescent="0.25">
      <c r="B268" s="106">
        <f t="shared" si="42"/>
        <v>2015</v>
      </c>
      <c r="C268" s="107"/>
      <c r="D268" s="107"/>
      <c r="E268" s="113">
        <f>'Rate Class Load Model'!B47</f>
        <v>2.4875160931048363E-3</v>
      </c>
      <c r="F268" s="113">
        <f>'Rate Class Load Model'!C47</f>
        <v>2.224863300917554E-3</v>
      </c>
      <c r="G268" s="113">
        <f>'Rate Class Load Model'!D47</f>
        <v>2.7943220420317593E-3</v>
      </c>
      <c r="H268" s="113">
        <f>'Rate Class Load Model'!E47</f>
        <v>2.764897606325751E-3</v>
      </c>
    </row>
    <row r="269" spans="2:13" ht="15" customHeight="1" x14ac:dyDescent="0.25">
      <c r="B269" s="106">
        <f t="shared" si="42"/>
        <v>2016</v>
      </c>
      <c r="C269" s="107"/>
      <c r="D269" s="107"/>
      <c r="E269" s="113">
        <f>'Rate Class Load Model'!B48</f>
        <v>2.6352006581074842E-3</v>
      </c>
      <c r="F269" s="113">
        <f>'Rate Class Load Model'!C48</f>
        <v>2.1253416870727682E-3</v>
      </c>
      <c r="G269" s="113">
        <f>'Rate Class Load Model'!D48</f>
        <v>2.7859366453953979E-3</v>
      </c>
      <c r="H269" s="113">
        <f>'Rate Class Load Model'!E48</f>
        <v>2.5984849934164462E-3</v>
      </c>
    </row>
    <row r="270" spans="2:13" ht="15" customHeight="1" x14ac:dyDescent="0.25">
      <c r="B270" s="106">
        <f t="shared" si="42"/>
        <v>2017</v>
      </c>
      <c r="C270" s="107"/>
      <c r="D270" s="107"/>
      <c r="E270" s="113">
        <f>'Rate Class Load Model'!B49</f>
        <v>2.6391378079695898E-3</v>
      </c>
      <c r="F270" s="113">
        <f>'Rate Class Load Model'!C49</f>
        <v>1.846921152494627E-3</v>
      </c>
      <c r="G270" s="113">
        <f>'Rate Class Load Model'!D49</f>
        <v>2.7943269527337853E-3</v>
      </c>
      <c r="H270" s="113">
        <f>'Rate Class Load Model'!E49</f>
        <v>2.5546197758281228E-3</v>
      </c>
    </row>
    <row r="271" spans="2:13" ht="15" customHeight="1" x14ac:dyDescent="0.25">
      <c r="B271" s="106">
        <f t="shared" si="42"/>
        <v>2018</v>
      </c>
      <c r="C271" s="107"/>
      <c r="D271" s="107"/>
      <c r="E271" s="113">
        <f>'Rate Class Load Model'!B50</f>
        <v>2.6112539893848163E-3</v>
      </c>
      <c r="F271" s="113">
        <f>'Rate Class Load Model'!C50</f>
        <v>1.8702405681255856E-3</v>
      </c>
      <c r="G271" s="113">
        <f>'Rate Class Load Model'!D50</f>
        <v>2.8008926463391191E-3</v>
      </c>
      <c r="H271" s="113">
        <f>'Rate Class Load Model'!E50</f>
        <v>2.5317687987963093E-3</v>
      </c>
    </row>
    <row r="272" spans="2:13" ht="15" customHeight="1" x14ac:dyDescent="0.25">
      <c r="B272" s="106">
        <f t="shared" si="42"/>
        <v>2019</v>
      </c>
      <c r="C272" s="107"/>
      <c r="D272" s="107"/>
      <c r="E272" s="113">
        <f>'Rate Class Load Model'!B51</f>
        <v>2.6170828283235354E-3</v>
      </c>
      <c r="F272" s="113">
        <f>'Rate Class Load Model'!C51</f>
        <v>1.9068082109691437E-3</v>
      </c>
      <c r="G272" s="113">
        <f>'Rate Class Load Model'!D51</f>
        <v>2.7943269527337853E-3</v>
      </c>
      <c r="H272" s="113">
        <f>'Rate Class Load Model'!E51</f>
        <v>2.5350331468204385E-3</v>
      </c>
    </row>
    <row r="273" spans="2:12" ht="15" customHeight="1" x14ac:dyDescent="0.25">
      <c r="B273" s="290" t="s">
        <v>199</v>
      </c>
      <c r="C273" s="291"/>
      <c r="D273" s="291"/>
      <c r="E273" s="220">
        <f>'Rate Class Load Model'!B56</f>
        <v>2.6224915418926477E-3</v>
      </c>
      <c r="F273" s="220">
        <f>'Rate Class Load Model'!C56</f>
        <v>1.8746566438631188E-3</v>
      </c>
      <c r="G273" s="220">
        <f>'Rate Class Load Model'!D56</f>
        <v>2.7965155172688968E-3</v>
      </c>
      <c r="H273" s="220">
        <f>'Rate Class Load Model'!E56</f>
        <v>2.5404739071482902E-3</v>
      </c>
      <c r="K273" s="351">
        <f>+I243</f>
        <v>2.0343285282138637</v>
      </c>
      <c r="L273" s="352">
        <f>+K273*1000000</f>
        <v>2034328.5282138637</v>
      </c>
    </row>
    <row r="274" spans="2:12" ht="15" customHeight="1" x14ac:dyDescent="0.25">
      <c r="B274" s="86"/>
      <c r="C274" s="86"/>
      <c r="D274" s="86"/>
      <c r="E274" s="72"/>
      <c r="F274" s="72"/>
      <c r="G274" s="72"/>
      <c r="K274" s="351">
        <f>+I244</f>
        <v>2.0322903804497572</v>
      </c>
      <c r="L274" s="352">
        <f>+K274*1000000</f>
        <v>2032290.3804497572</v>
      </c>
    </row>
    <row r="275" spans="2:12" ht="15" customHeight="1" x14ac:dyDescent="0.25">
      <c r="B275" s="403" t="s">
        <v>274</v>
      </c>
      <c r="C275" s="61"/>
      <c r="D275" s="61"/>
      <c r="E275" s="73"/>
      <c r="F275" s="73"/>
      <c r="G275" s="73"/>
    </row>
    <row r="276" spans="2:12" ht="31.5" x14ac:dyDescent="0.25">
      <c r="B276" s="298" t="s">
        <v>65</v>
      </c>
      <c r="C276" s="296"/>
      <c r="D276" s="296"/>
      <c r="E276" s="244" t="str">
        <f>E261</f>
        <v>General Service 50 to 2999 kW</v>
      </c>
      <c r="F276" s="244" t="str">
        <f>F261</f>
        <v>General Service 3000 to 4999 kW</v>
      </c>
      <c r="G276" s="244" t="str">
        <f>G261</f>
        <v>Street Lighting</v>
      </c>
      <c r="H276" s="244" t="str">
        <f>H261</f>
        <v>Sentinel Lighting</v>
      </c>
      <c r="I276" s="244" t="str">
        <f>I247</f>
        <v>TOTAL</v>
      </c>
    </row>
    <row r="277" spans="2:12" ht="15" customHeight="1" x14ac:dyDescent="0.25">
      <c r="B277" s="290" t="s">
        <v>96</v>
      </c>
      <c r="C277" s="291"/>
      <c r="D277" s="291"/>
      <c r="E277" s="291"/>
      <c r="F277" s="291"/>
      <c r="G277" s="292"/>
      <c r="H277" s="110"/>
      <c r="I277" s="104"/>
    </row>
    <row r="278" spans="2:12" ht="10" x14ac:dyDescent="0.25">
      <c r="B278" s="290" t="str">
        <f>B243</f>
        <v>2020 Bridge - Normalized</v>
      </c>
      <c r="C278" s="291"/>
      <c r="D278" s="291"/>
      <c r="E278" s="80">
        <f>E273*G243*1000000+6602-382</f>
        <v>518926.533001584</v>
      </c>
      <c r="F278" s="80">
        <f>F273*H243*1000000</f>
        <v>27927.216521161627</v>
      </c>
      <c r="G278" s="80">
        <f>+'Rate Class Load Model'!D23</f>
        <v>5690.28</v>
      </c>
      <c r="H278" s="80">
        <f>H273*J243*1000000</f>
        <v>304.29369952634471</v>
      </c>
      <c r="I278" s="64">
        <f>SUM(E278:H278)</f>
        <v>552848.32322227198</v>
      </c>
      <c r="K278" s="65"/>
    </row>
    <row r="279" spans="2:12" ht="15" customHeight="1" x14ac:dyDescent="0.25">
      <c r="B279" s="290" t="str">
        <f>B244</f>
        <v>2021 Test - Normalized</v>
      </c>
      <c r="C279" s="291"/>
      <c r="D279" s="291"/>
      <c r="E279" s="80">
        <f>E273*G244*1000000+6602-382</f>
        <v>514190.14328799694</v>
      </c>
      <c r="F279" s="80">
        <f>F273*H244*1000000</f>
        <v>27098.262991662719</v>
      </c>
      <c r="G279" s="80">
        <f>+'Rate Class Load Model'!D24</f>
        <v>5690.28</v>
      </c>
      <c r="H279" s="80">
        <f>H273*J244*1000000</f>
        <v>298.32715639837721</v>
      </c>
      <c r="I279" s="64">
        <f>SUM(E279:H279)</f>
        <v>547277.01343605795</v>
      </c>
      <c r="K279" s="65"/>
      <c r="L279" s="65"/>
    </row>
    <row r="280" spans="2:12" ht="15" customHeight="1" x14ac:dyDescent="0.25">
      <c r="B280" s="60"/>
      <c r="C280" s="60"/>
      <c r="D280" s="60"/>
    </row>
    <row r="281" spans="2:12" ht="15" customHeight="1" x14ac:dyDescent="0.25">
      <c r="B281" s="403" t="s">
        <v>275</v>
      </c>
      <c r="C281" s="61"/>
      <c r="D281" s="61"/>
      <c r="E281" s="73"/>
      <c r="F281" s="73"/>
      <c r="G281" s="73"/>
    </row>
    <row r="282" spans="2:12" ht="21" x14ac:dyDescent="0.25">
      <c r="B282" s="426"/>
      <c r="C282" s="427"/>
      <c r="D282" s="427"/>
      <c r="E282" s="428"/>
      <c r="F282" s="297" t="s">
        <v>169</v>
      </c>
      <c r="G282" s="297" t="s">
        <v>170</v>
      </c>
      <c r="H282" s="297" t="s">
        <v>171</v>
      </c>
      <c r="I282" s="297" t="s">
        <v>172</v>
      </c>
      <c r="J282" s="297" t="s">
        <v>173</v>
      </c>
      <c r="K282" s="245" t="str">
        <f>B19</f>
        <v>2020 Bridge - Normalized</v>
      </c>
      <c r="L282" s="245" t="str">
        <f>B20</f>
        <v>2021 Test - Normalized</v>
      </c>
    </row>
    <row r="283" spans="2:12" ht="15" customHeight="1" x14ac:dyDescent="0.25">
      <c r="B283" s="417" t="s">
        <v>50</v>
      </c>
      <c r="C283" s="418"/>
      <c r="D283" s="418"/>
      <c r="E283" s="419"/>
      <c r="F283" s="82">
        <f>Summary!G4</f>
        <v>538323195.74000001</v>
      </c>
      <c r="G283" s="82">
        <f>Summary!H4</f>
        <v>508987624.24000013</v>
      </c>
      <c r="H283" s="82">
        <f>Summary!I4</f>
        <v>500698339.18000001</v>
      </c>
      <c r="I283" s="82">
        <f>Summary!J4</f>
        <v>514889565.40999997</v>
      </c>
      <c r="J283" s="82">
        <f>Summary!K4</f>
        <v>514147823.86999995</v>
      </c>
      <c r="K283" s="82">
        <v>0</v>
      </c>
      <c r="L283" s="82">
        <v>0</v>
      </c>
    </row>
    <row r="284" spans="2:12" ht="15" customHeight="1" x14ac:dyDescent="0.25">
      <c r="B284" s="417" t="s">
        <v>116</v>
      </c>
      <c r="C284" s="418"/>
      <c r="D284" s="418"/>
      <c r="E284" s="419"/>
      <c r="F284" s="82">
        <f>Summary!G5</f>
        <v>514903442.02267593</v>
      </c>
      <c r="G284" s="82">
        <f>Summary!H5</f>
        <v>513927826.56305665</v>
      </c>
      <c r="H284" s="82">
        <f>Summary!I5</f>
        <v>507121218.68637317</v>
      </c>
      <c r="I284" s="82">
        <f>Summary!J5</f>
        <v>524508322.63358557</v>
      </c>
      <c r="J284" s="82">
        <f>Summary!K5</f>
        <v>516585738.53430808</v>
      </c>
      <c r="K284" s="82">
        <f>Summary!L5</f>
        <v>513771070.57435787</v>
      </c>
      <c r="L284" s="82">
        <f>Summary!M5</f>
        <v>512910056.40893781</v>
      </c>
    </row>
    <row r="285" spans="2:12" ht="10" x14ac:dyDescent="0.25">
      <c r="B285" s="414" t="s">
        <v>97</v>
      </c>
      <c r="C285" s="415"/>
      <c r="D285" s="415"/>
      <c r="E285" s="416"/>
      <c r="F285" s="94">
        <f>F284/F283-1</f>
        <v>-4.3505005733833091E-2</v>
      </c>
      <c r="G285" s="94">
        <f>G284/G283-1</f>
        <v>9.705937998852221E-3</v>
      </c>
      <c r="H285" s="94">
        <f>H284/H283-1</f>
        <v>1.2827842642522125E-2</v>
      </c>
      <c r="I285" s="94">
        <f>I284/I283-1</f>
        <v>1.8681204416963304E-2</v>
      </c>
      <c r="J285" s="94">
        <f>J284/J283-1</f>
        <v>4.7416609603789794E-3</v>
      </c>
      <c r="K285" s="63"/>
      <c r="L285" s="63"/>
    </row>
    <row r="286" spans="2:12" ht="10.5" x14ac:dyDescent="0.25">
      <c r="B286" s="293"/>
      <c r="C286" s="294"/>
      <c r="D286" s="294"/>
      <c r="E286" s="295"/>
      <c r="F286" s="295"/>
      <c r="G286" s="95"/>
      <c r="H286" s="95"/>
      <c r="I286" s="95"/>
      <c r="J286" s="95"/>
      <c r="K286" s="63"/>
      <c r="L286" s="63"/>
    </row>
    <row r="287" spans="2:12" ht="10.5" x14ac:dyDescent="0.25">
      <c r="B287" s="293" t="s">
        <v>1</v>
      </c>
      <c r="C287" s="294"/>
      <c r="D287" s="294"/>
      <c r="E287" s="295"/>
      <c r="F287" s="295"/>
      <c r="G287" s="95"/>
      <c r="H287" s="95"/>
      <c r="I287" s="95"/>
      <c r="J287" s="95"/>
      <c r="K287" s="221">
        <f>'Rate Class Energy Model'!F26</f>
        <v>1.0388440447792455</v>
      </c>
      <c r="L287" s="221">
        <f>K287</f>
        <v>1.0388440447792455</v>
      </c>
    </row>
    <row r="288" spans="2:12" ht="10.5" x14ac:dyDescent="0.25">
      <c r="B288" s="293"/>
      <c r="C288" s="294"/>
      <c r="D288" s="294"/>
      <c r="E288" s="295"/>
      <c r="F288" s="295"/>
      <c r="G288" s="95"/>
      <c r="H288" s="95"/>
      <c r="I288" s="95"/>
      <c r="J288" s="95"/>
      <c r="K288" s="82"/>
      <c r="L288" s="63"/>
    </row>
    <row r="289" spans="2:18" ht="10.5" x14ac:dyDescent="0.25">
      <c r="B289" s="429" t="s">
        <v>147</v>
      </c>
      <c r="C289" s="430"/>
      <c r="D289" s="430"/>
      <c r="E289" s="431"/>
      <c r="F289" s="299"/>
      <c r="G289" s="95"/>
      <c r="H289" s="95"/>
      <c r="I289" s="95"/>
      <c r="J289" s="95"/>
      <c r="K289" s="82">
        <f>K284/K287</f>
        <v>494560346.33527142</v>
      </c>
      <c r="L289" s="82">
        <f>L284/L287</f>
        <v>493731526.87026399</v>
      </c>
    </row>
    <row r="290" spans="2:18" ht="10.5" x14ac:dyDescent="0.25">
      <c r="B290" s="441" t="s">
        <v>117</v>
      </c>
      <c r="C290" s="442"/>
      <c r="D290" s="442"/>
      <c r="E290" s="443"/>
      <c r="F290" s="300"/>
      <c r="G290" s="95"/>
      <c r="H290" s="95"/>
      <c r="I290" s="95"/>
      <c r="J290" s="95"/>
      <c r="K290" s="64">
        <f>'Rate Class Energy Model'!P71</f>
        <v>2644687</v>
      </c>
      <c r="L290" s="64">
        <f>'Rate Class Energy Model'!P72</f>
        <v>2644687</v>
      </c>
    </row>
    <row r="291" spans="2:18" ht="10" x14ac:dyDescent="0.25">
      <c r="B291" s="417" t="s">
        <v>148</v>
      </c>
      <c r="C291" s="418"/>
      <c r="D291" s="418"/>
      <c r="E291" s="419"/>
      <c r="F291" s="82">
        <f>Summary!G12</f>
        <v>516728999.29000038</v>
      </c>
      <c r="G291" s="82">
        <f>Summary!H12</f>
        <v>488765497.17000061</v>
      </c>
      <c r="H291" s="82">
        <f>Summary!I12</f>
        <v>482398546.16000038</v>
      </c>
      <c r="I291" s="82">
        <f>Summary!J12</f>
        <v>496980971.10999972</v>
      </c>
      <c r="J291" s="82">
        <f>Summary!K12</f>
        <v>495761810.37999994</v>
      </c>
      <c r="K291" s="82">
        <f>K289-K290</f>
        <v>491915659.33527142</v>
      </c>
      <c r="L291" s="82">
        <f>L289-L290</f>
        <v>491086839.87026399</v>
      </c>
    </row>
    <row r="292" spans="2:18" customFormat="1" ht="14.25" customHeight="1" x14ac:dyDescent="0.25"/>
    <row r="293" spans="2:18" customFormat="1" ht="15" customHeight="1" x14ac:dyDescent="0.25"/>
    <row r="294" spans="2:18" customFormat="1" ht="15" customHeight="1" x14ac:dyDescent="0.25">
      <c r="B294" s="403" t="s">
        <v>276</v>
      </c>
    </row>
    <row r="295" spans="2:18" ht="21" x14ac:dyDescent="0.25">
      <c r="B295" s="249"/>
      <c r="C295" s="250"/>
      <c r="D295" s="250"/>
      <c r="E295" s="245" t="str">
        <f>B7</f>
        <v>2015 Board Approved</v>
      </c>
      <c r="F295" s="245" t="str">
        <f>+F282</f>
        <v>2015 Actual</v>
      </c>
      <c r="G295" s="245" t="str">
        <f t="shared" ref="G295:L295" si="43">+G282</f>
        <v>2016 Actual</v>
      </c>
      <c r="H295" s="245" t="str">
        <f t="shared" si="43"/>
        <v>2017 Actual</v>
      </c>
      <c r="I295" s="245" t="str">
        <f t="shared" si="43"/>
        <v>2018 Actual</v>
      </c>
      <c r="J295" s="245" t="str">
        <f t="shared" si="43"/>
        <v>2019 Actual</v>
      </c>
      <c r="K295" s="245" t="str">
        <f t="shared" si="43"/>
        <v>2020 Bridge - Normalized</v>
      </c>
      <c r="L295" s="245" t="str">
        <f t="shared" si="43"/>
        <v>2021 Test - Normalized</v>
      </c>
    </row>
    <row r="296" spans="2:18" ht="15" customHeight="1" x14ac:dyDescent="0.25">
      <c r="B296" s="438" t="s">
        <v>98</v>
      </c>
      <c r="C296" s="439"/>
      <c r="D296" s="439"/>
      <c r="E296" s="439"/>
      <c r="F296" s="439"/>
      <c r="G296" s="439"/>
      <c r="H296" s="439"/>
      <c r="I296" s="439"/>
      <c r="J296" s="439"/>
      <c r="K296" s="439"/>
      <c r="L296" s="440"/>
    </row>
    <row r="297" spans="2:18" ht="15" customHeight="1" x14ac:dyDescent="0.25">
      <c r="B297" s="290" t="s">
        <v>44</v>
      </c>
      <c r="C297" s="291"/>
      <c r="D297" s="291"/>
      <c r="E297" s="90">
        <f>E43</f>
        <v>21124</v>
      </c>
      <c r="F297" s="82">
        <f>Summary!G20</f>
        <v>21122</v>
      </c>
      <c r="G297" s="82">
        <f>Summary!H20</f>
        <v>21173</v>
      </c>
      <c r="H297" s="82">
        <f>Summary!I20</f>
        <v>21192</v>
      </c>
      <c r="I297" s="82">
        <f>Summary!J20</f>
        <v>21229</v>
      </c>
      <c r="J297" s="82">
        <f>Summary!K20</f>
        <v>21280</v>
      </c>
      <c r="K297" s="82">
        <f>Summary!L20</f>
        <v>21316</v>
      </c>
      <c r="L297" s="82">
        <f>Summary!M20</f>
        <v>21352</v>
      </c>
    </row>
    <row r="298" spans="2:18" ht="15" customHeight="1" x14ac:dyDescent="0.25">
      <c r="B298" s="290" t="s">
        <v>223</v>
      </c>
      <c r="C298" s="291"/>
      <c r="D298" s="291"/>
      <c r="E298" s="90">
        <f>E26*1000000</f>
        <v>205497425</v>
      </c>
      <c r="F298" s="82">
        <f>Summary!G21</f>
        <v>196730100.79999995</v>
      </c>
      <c r="G298" s="82">
        <f>Summary!H21</f>
        <v>188194721.51000041</v>
      </c>
      <c r="H298" s="82">
        <f>Summary!I21</f>
        <v>184546623.13000023</v>
      </c>
      <c r="I298" s="82">
        <f>Summary!J21</f>
        <v>196784129.94999957</v>
      </c>
      <c r="J298" s="82">
        <f>Summary!K21</f>
        <v>197847017.74999991</v>
      </c>
      <c r="K298" s="82">
        <f>Summary!L21</f>
        <v>199682216.91900477</v>
      </c>
      <c r="L298" s="82">
        <f>Summary!M21</f>
        <v>201705111.05903772</v>
      </c>
      <c r="R298" s="60">
        <v>408868804</v>
      </c>
    </row>
    <row r="299" spans="2:18" ht="15" customHeight="1" x14ac:dyDescent="0.25">
      <c r="B299" s="333" t="s">
        <v>224</v>
      </c>
      <c r="C299" s="334"/>
      <c r="D299" s="334"/>
      <c r="E299" s="90">
        <f>+E298</f>
        <v>205497425</v>
      </c>
      <c r="F299" s="90">
        <f>+'Rate Class Energy Model'!R16</f>
        <v>187442874.27547359</v>
      </c>
      <c r="G299" s="90">
        <f>+'Rate Class Energy Model'!R17</f>
        <v>189963368.34516984</v>
      </c>
      <c r="H299" s="90">
        <f>+'Rate Class Energy Model'!R18</f>
        <v>189047599.06874555</v>
      </c>
      <c r="I299" s="90">
        <f>+'Rate Class Energy Model'!R19</f>
        <v>196027587.22186714</v>
      </c>
      <c r="J299" s="90">
        <f>+'Rate Class Energy Model'!R20</f>
        <v>197370717.76491809</v>
      </c>
      <c r="K299" s="90">
        <f>+K298</f>
        <v>199682216.91900477</v>
      </c>
      <c r="L299" s="90">
        <f>+L298</f>
        <v>201705111.05903772</v>
      </c>
      <c r="R299" s="60">
        <v>49453</v>
      </c>
    </row>
    <row r="300" spans="2:18" ht="15" customHeight="1" x14ac:dyDescent="0.25">
      <c r="B300" s="333" t="s">
        <v>225</v>
      </c>
      <c r="C300" s="334"/>
      <c r="D300" s="334"/>
      <c r="E300" s="90">
        <f t="shared" ref="E300:L300" si="44">+E298/E297</f>
        <v>9728.149261503504</v>
      </c>
      <c r="F300" s="90">
        <f t="shared" si="44"/>
        <v>9313.9901903228838</v>
      </c>
      <c r="G300" s="90">
        <f t="shared" si="44"/>
        <v>8888.429675057876</v>
      </c>
      <c r="H300" s="90">
        <f t="shared" si="44"/>
        <v>8708.3155497357602</v>
      </c>
      <c r="I300" s="90">
        <f t="shared" si="44"/>
        <v>9269.5901808846193</v>
      </c>
      <c r="J300" s="90">
        <f t="shared" si="44"/>
        <v>9297.3222626879651</v>
      </c>
      <c r="K300" s="90">
        <f t="shared" si="44"/>
        <v>9367.7151866675158</v>
      </c>
      <c r="L300" s="90">
        <f t="shared" si="44"/>
        <v>9446.6612522966334</v>
      </c>
      <c r="R300" s="60">
        <f>+R298/R299</f>
        <v>8267.8260975067242</v>
      </c>
    </row>
    <row r="301" spans="2:18" ht="15" customHeight="1" x14ac:dyDescent="0.25">
      <c r="B301" s="333" t="s">
        <v>226</v>
      </c>
      <c r="C301" s="334"/>
      <c r="D301" s="334"/>
      <c r="E301" s="90">
        <f t="shared" ref="E301:L301" si="45">+E299/E297</f>
        <v>9728.149261503504</v>
      </c>
      <c r="F301" s="90">
        <f t="shared" si="45"/>
        <v>8874.2957236754846</v>
      </c>
      <c r="G301" s="90">
        <f t="shared" si="45"/>
        <v>8971.9627990917597</v>
      </c>
      <c r="H301" s="90">
        <f t="shared" si="45"/>
        <v>8920.7058828211375</v>
      </c>
      <c r="I301" s="90">
        <f t="shared" si="45"/>
        <v>9233.9529521817858</v>
      </c>
      <c r="J301" s="90">
        <f t="shared" si="45"/>
        <v>9274.9397445920149</v>
      </c>
      <c r="K301" s="90">
        <f t="shared" si="45"/>
        <v>9367.7151866675158</v>
      </c>
      <c r="L301" s="90">
        <f t="shared" si="45"/>
        <v>9446.6612522966334</v>
      </c>
    </row>
    <row r="302" spans="2:18" ht="15" customHeight="1" x14ac:dyDescent="0.25">
      <c r="B302" s="432" t="s">
        <v>149</v>
      </c>
      <c r="C302" s="433"/>
      <c r="D302" s="433"/>
      <c r="E302" s="433"/>
      <c r="F302" s="433"/>
      <c r="G302" s="433"/>
      <c r="H302" s="433"/>
      <c r="I302" s="433"/>
      <c r="J302" s="433"/>
      <c r="K302" s="433"/>
      <c r="L302" s="434"/>
    </row>
    <row r="303" spans="2:18" ht="15" customHeight="1" x14ac:dyDescent="0.2">
      <c r="B303" s="290" t="str">
        <f>B297</f>
        <v xml:space="preserve">  Customers</v>
      </c>
      <c r="C303" s="291"/>
      <c r="D303" s="291"/>
      <c r="E303" s="90"/>
      <c r="F303" s="222">
        <f t="shared" ref="F303:L304" si="46">IF(ISERROR((F297-$E297)/$E297),0,(F297-$E297)/$E297)</f>
        <v>-9.4679038060973297E-5</v>
      </c>
      <c r="G303" s="222">
        <f t="shared" si="46"/>
        <v>2.3196364324938458E-3</v>
      </c>
      <c r="H303" s="222">
        <f t="shared" si="46"/>
        <v>3.2190872940730921E-3</v>
      </c>
      <c r="I303" s="222">
        <f t="shared" si="46"/>
        <v>4.9706494982010982E-3</v>
      </c>
      <c r="J303" s="222">
        <f t="shared" si="46"/>
        <v>7.3849649687559174E-3</v>
      </c>
      <c r="K303" s="222">
        <f t="shared" si="46"/>
        <v>9.089187653853437E-3</v>
      </c>
      <c r="L303" s="222">
        <f t="shared" si="46"/>
        <v>1.0793410338950956E-2</v>
      </c>
    </row>
    <row r="304" spans="2:18" ht="15" customHeight="1" x14ac:dyDescent="0.2">
      <c r="B304" s="290" t="str">
        <f>B298</f>
        <v xml:space="preserve">  kWh - Actuals</v>
      </c>
      <c r="C304" s="291"/>
      <c r="D304" s="291"/>
      <c r="E304" s="90"/>
      <c r="F304" s="222">
        <f t="shared" si="46"/>
        <v>-4.2663912698663001E-2</v>
      </c>
      <c r="G304" s="222">
        <f t="shared" si="46"/>
        <v>-8.4199125560817087E-2</v>
      </c>
      <c r="H304" s="222">
        <f t="shared" si="46"/>
        <v>-0.10195165155962303</v>
      </c>
      <c r="I304" s="222">
        <f t="shared" si="46"/>
        <v>-4.2400993832406558E-2</v>
      </c>
      <c r="J304" s="222">
        <f t="shared" si="46"/>
        <v>-3.7228725615418727E-2</v>
      </c>
      <c r="K304" s="222">
        <f t="shared" si="46"/>
        <v>-2.8298204130758484E-2</v>
      </c>
      <c r="L304" s="222">
        <f t="shared" si="46"/>
        <v>-1.8454313677956233E-2</v>
      </c>
    </row>
    <row r="305" spans="2:12" ht="15" customHeight="1" x14ac:dyDescent="0.2">
      <c r="B305" s="333" t="str">
        <f>B299</f>
        <v xml:space="preserve">  kWh - weather normalized</v>
      </c>
      <c r="C305" s="112"/>
      <c r="D305" s="112"/>
      <c r="E305" s="90"/>
      <c r="F305" s="222">
        <f>IF(ISERROR((F299-$E299)/$E299),0,(F299-$E299)/$E299)</f>
        <v>-8.7857795417759635E-2</v>
      </c>
      <c r="G305" s="222">
        <f t="shared" ref="G305:L305" si="47">IF(ISERROR((G299-$E299)/$E299),0,(G299-$E299)/$E299)</f>
        <v>-7.5592463773354615E-2</v>
      </c>
      <c r="H305" s="222">
        <f t="shared" si="47"/>
        <v>-8.0048817795427107E-2</v>
      </c>
      <c r="I305" s="222">
        <f t="shared" si="47"/>
        <v>-4.6082513092963844E-2</v>
      </c>
      <c r="J305" s="222">
        <f t="shared" si="47"/>
        <v>-3.9546516142875812E-2</v>
      </c>
      <c r="K305" s="222">
        <f t="shared" si="47"/>
        <v>-2.8298204130758484E-2</v>
      </c>
      <c r="L305" s="222">
        <f t="shared" si="47"/>
        <v>-1.8454313677956233E-2</v>
      </c>
    </row>
    <row r="306" spans="2:12" ht="9" customHeight="1" x14ac:dyDescent="0.25">
      <c r="B306" s="435"/>
      <c r="C306" s="436"/>
      <c r="D306" s="436"/>
      <c r="E306" s="436"/>
      <c r="F306" s="436"/>
      <c r="G306" s="436"/>
      <c r="H306" s="436"/>
      <c r="I306" s="436"/>
      <c r="J306" s="436"/>
      <c r="K306" s="436"/>
      <c r="L306" s="437"/>
    </row>
    <row r="307" spans="2:12" ht="15" customHeight="1" x14ac:dyDescent="0.25">
      <c r="B307" s="438" t="str">
        <f>F232</f>
        <v>General Service &lt; 50 kW</v>
      </c>
      <c r="C307" s="439"/>
      <c r="D307" s="439"/>
      <c r="E307" s="439"/>
      <c r="F307" s="439"/>
      <c r="G307" s="439"/>
      <c r="H307" s="439"/>
      <c r="I307" s="439"/>
      <c r="J307" s="439"/>
      <c r="K307" s="439"/>
      <c r="L307" s="440"/>
    </row>
    <row r="308" spans="2:12" ht="15" customHeight="1" x14ac:dyDescent="0.25">
      <c r="B308" s="290" t="s">
        <v>44</v>
      </c>
      <c r="C308" s="291"/>
      <c r="D308" s="291"/>
      <c r="E308" s="90">
        <f>F43</f>
        <v>2668</v>
      </c>
      <c r="F308" s="82">
        <f>Summary!G24</f>
        <v>2646</v>
      </c>
      <c r="G308" s="82">
        <f>Summary!H24</f>
        <v>2659</v>
      </c>
      <c r="H308" s="82">
        <f>Summary!I24</f>
        <v>2653</v>
      </c>
      <c r="I308" s="82">
        <f>Summary!J24</f>
        <v>2654</v>
      </c>
      <c r="J308" s="82">
        <f>Summary!K24</f>
        <v>2653</v>
      </c>
      <c r="K308" s="82">
        <f>Summary!L24</f>
        <v>2651</v>
      </c>
      <c r="L308" s="82">
        <f>Summary!M24</f>
        <v>2649</v>
      </c>
    </row>
    <row r="309" spans="2:12" ht="15" customHeight="1" x14ac:dyDescent="0.25">
      <c r="B309" s="333" t="s">
        <v>223</v>
      </c>
      <c r="C309" s="291"/>
      <c r="D309" s="291"/>
      <c r="E309" s="90">
        <f>F26*1000000</f>
        <v>85361037</v>
      </c>
      <c r="F309" s="82">
        <f>Summary!G25</f>
        <v>83568205.870000467</v>
      </c>
      <c r="G309" s="82">
        <f>Summary!H25</f>
        <v>80643102.520000204</v>
      </c>
      <c r="H309" s="82">
        <f>Summary!I25</f>
        <v>78774627.370000109</v>
      </c>
      <c r="I309" s="82">
        <f>Summary!J25</f>
        <v>81814082.000000045</v>
      </c>
      <c r="J309" s="82">
        <f>Summary!K25</f>
        <v>80410230.090000004</v>
      </c>
      <c r="K309" s="82">
        <f>Summary!L25</f>
        <v>79636963.846008897</v>
      </c>
      <c r="L309" s="82">
        <f>Summary!M25</f>
        <v>79035853.179389015</v>
      </c>
    </row>
    <row r="310" spans="2:12" ht="15" customHeight="1" x14ac:dyDescent="0.25">
      <c r="B310" s="333" t="s">
        <v>224</v>
      </c>
      <c r="C310" s="334"/>
      <c r="D310" s="334"/>
      <c r="E310" s="90">
        <f>+E309</f>
        <v>85361037</v>
      </c>
      <c r="F310" s="90">
        <f>+'Rate Class Energy Model'!S16</f>
        <v>79623121.437029213</v>
      </c>
      <c r="G310" s="90">
        <f>+'Rate Class Energy Model'!S17</f>
        <v>81400983.330396175</v>
      </c>
      <c r="H310" s="90">
        <f>+'Rate Class Energy Model'!S18</f>
        <v>80695890.931274995</v>
      </c>
      <c r="I310" s="90">
        <f>+'Rate Class Energy Model'!S19</f>
        <v>81499545.208787978</v>
      </c>
      <c r="J310" s="90">
        <f>+'Rate Class Energy Model'!S20</f>
        <v>80216649.252503186</v>
      </c>
      <c r="K310" s="90">
        <f>+K309</f>
        <v>79636963.846008897</v>
      </c>
      <c r="L310" s="90">
        <f>+L309</f>
        <v>79035853.179389015</v>
      </c>
    </row>
    <row r="311" spans="2:12" ht="15" customHeight="1" x14ac:dyDescent="0.25">
      <c r="B311" s="333" t="s">
        <v>225</v>
      </c>
      <c r="C311" s="334"/>
      <c r="D311" s="334"/>
      <c r="E311" s="90">
        <f t="shared" ref="E311:L311" si="48">+E309/E308</f>
        <v>31994.391679160421</v>
      </c>
      <c r="F311" s="90">
        <f t="shared" si="48"/>
        <v>31582.844244142278</v>
      </c>
      <c r="G311" s="90">
        <f t="shared" si="48"/>
        <v>30328.357472734187</v>
      </c>
      <c r="H311" s="90">
        <f t="shared" si="48"/>
        <v>29692.660147003433</v>
      </c>
      <c r="I311" s="90">
        <f t="shared" si="48"/>
        <v>30826.707611152993</v>
      </c>
      <c r="J311" s="90">
        <f t="shared" si="48"/>
        <v>30309.170784018093</v>
      </c>
      <c r="K311" s="90">
        <f t="shared" si="48"/>
        <v>30040.348489629912</v>
      </c>
      <c r="L311" s="90">
        <f t="shared" si="48"/>
        <v>29836.109165492267</v>
      </c>
    </row>
    <row r="312" spans="2:12" ht="15" customHeight="1" x14ac:dyDescent="0.25">
      <c r="B312" s="333" t="s">
        <v>226</v>
      </c>
      <c r="C312" s="334"/>
      <c r="D312" s="334"/>
      <c r="E312" s="90">
        <f t="shared" ref="E312:L312" si="49">+E310/E308</f>
        <v>31994.391679160421</v>
      </c>
      <c r="F312" s="90">
        <f t="shared" si="49"/>
        <v>30091.882629262742</v>
      </c>
      <c r="G312" s="90">
        <f t="shared" si="49"/>
        <v>30613.382222789085</v>
      </c>
      <c r="H312" s="90">
        <f t="shared" si="49"/>
        <v>30416.845432067468</v>
      </c>
      <c r="I312" s="90">
        <f t="shared" si="49"/>
        <v>30708.193371811598</v>
      </c>
      <c r="J312" s="90">
        <f t="shared" si="49"/>
        <v>30236.20401526694</v>
      </c>
      <c r="K312" s="90">
        <f t="shared" si="49"/>
        <v>30040.348489629912</v>
      </c>
      <c r="L312" s="90">
        <f t="shared" si="49"/>
        <v>29836.109165492267</v>
      </c>
    </row>
    <row r="313" spans="2:12" ht="15" customHeight="1" x14ac:dyDescent="0.25">
      <c r="B313" s="432" t="s">
        <v>149</v>
      </c>
      <c r="C313" s="433"/>
      <c r="D313" s="433"/>
      <c r="E313" s="433"/>
      <c r="F313" s="433"/>
      <c r="G313" s="433"/>
      <c r="H313" s="433"/>
      <c r="I313" s="433"/>
      <c r="J313" s="433"/>
      <c r="K313" s="433"/>
      <c r="L313" s="434"/>
    </row>
    <row r="314" spans="2:12" ht="15" customHeight="1" x14ac:dyDescent="0.2">
      <c r="B314" s="290" t="str">
        <f>B308</f>
        <v xml:space="preserve">  Customers</v>
      </c>
      <c r="C314" s="291"/>
      <c r="D314" s="291"/>
      <c r="E314" s="90"/>
      <c r="F314" s="222">
        <f t="shared" ref="F314:L315" si="50">IF(ISERROR((F308-$E308)/$E308),0,(F308-$E308)/$E308)</f>
        <v>-8.2458770614692659E-3</v>
      </c>
      <c r="G314" s="222">
        <f t="shared" si="50"/>
        <v>-3.373313343328336E-3</v>
      </c>
      <c r="H314" s="222">
        <f t="shared" si="50"/>
        <v>-5.6221889055472268E-3</v>
      </c>
      <c r="I314" s="222">
        <f t="shared" si="50"/>
        <v>-5.2473763118440781E-3</v>
      </c>
      <c r="J314" s="222">
        <f t="shared" si="50"/>
        <v>-5.6221889055472268E-3</v>
      </c>
      <c r="K314" s="222">
        <f t="shared" si="50"/>
        <v>-6.3718140929535233E-3</v>
      </c>
      <c r="L314" s="222">
        <f t="shared" si="50"/>
        <v>-7.1214392803598198E-3</v>
      </c>
    </row>
    <row r="315" spans="2:12" ht="15" customHeight="1" x14ac:dyDescent="0.2">
      <c r="B315" s="333" t="str">
        <f>B309</f>
        <v xml:space="preserve">  kWh - Actuals</v>
      </c>
      <c r="C315" s="291"/>
      <c r="D315" s="291"/>
      <c r="E315" s="90"/>
      <c r="F315" s="222">
        <f t="shared" si="50"/>
        <v>-2.1002921157102779E-2</v>
      </c>
      <c r="G315" s="222">
        <f t="shared" si="50"/>
        <v>-5.5270351038493072E-2</v>
      </c>
      <c r="H315" s="222">
        <f t="shared" si="50"/>
        <v>-7.7159437859217792E-2</v>
      </c>
      <c r="I315" s="222">
        <f t="shared" si="50"/>
        <v>-4.1552388825828762E-2</v>
      </c>
      <c r="J315" s="222">
        <f t="shared" si="50"/>
        <v>-5.7998439147359429E-2</v>
      </c>
      <c r="K315" s="222">
        <f t="shared" si="50"/>
        <v>-6.7057211992294599E-2</v>
      </c>
      <c r="L315" s="222">
        <f t="shared" si="50"/>
        <v>-7.409919142161997E-2</v>
      </c>
    </row>
    <row r="316" spans="2:12" ht="15" customHeight="1" x14ac:dyDescent="0.2">
      <c r="B316" s="333" t="str">
        <f>B310</f>
        <v xml:space="preserve">  kWh - weather normalized</v>
      </c>
      <c r="C316" s="112"/>
      <c r="D316" s="112"/>
      <c r="E316" s="340"/>
      <c r="F316" s="222">
        <f>IF(ISERROR((F310-$E310)/$E310),0,(F310-$E310)/$E310)</f>
        <v>-6.7219375075900117E-2</v>
      </c>
      <c r="G316" s="222">
        <f t="shared" ref="G316:L316" si="51">IF(ISERROR((G310-$E310)/$E310),0,(G310-$E310)/$E310)</f>
        <v>-4.6391817728313502E-2</v>
      </c>
      <c r="H316" s="222">
        <f t="shared" si="51"/>
        <v>-5.4651937613234537E-2</v>
      </c>
      <c r="I316" s="222">
        <f t="shared" si="51"/>
        <v>-4.5237170574814155E-2</v>
      </c>
      <c r="J316" s="222">
        <f t="shared" si="51"/>
        <v>-6.0266228343697527E-2</v>
      </c>
      <c r="K316" s="222">
        <f t="shared" si="51"/>
        <v>-6.7057211992294599E-2</v>
      </c>
      <c r="L316" s="222">
        <f t="shared" si="51"/>
        <v>-7.409919142161997E-2</v>
      </c>
    </row>
    <row r="317" spans="2:12" ht="9" customHeight="1" x14ac:dyDescent="0.25">
      <c r="B317" s="435"/>
      <c r="C317" s="436"/>
      <c r="D317" s="436"/>
      <c r="E317" s="436"/>
      <c r="F317" s="436"/>
      <c r="G317" s="436"/>
      <c r="H317" s="436"/>
      <c r="I317" s="436"/>
      <c r="J317" s="436"/>
      <c r="K317" s="436"/>
      <c r="L317" s="437"/>
    </row>
    <row r="318" spans="2:12" ht="15" customHeight="1" x14ac:dyDescent="0.25">
      <c r="B318" s="438" t="str">
        <f>Summary!A27</f>
        <v>General Service 50 to 2999 kW</v>
      </c>
      <c r="C318" s="439"/>
      <c r="D318" s="439"/>
      <c r="E318" s="439"/>
      <c r="F318" s="439"/>
      <c r="G318" s="439"/>
      <c r="H318" s="439"/>
      <c r="I318" s="439"/>
      <c r="J318" s="439"/>
      <c r="K318" s="439"/>
      <c r="L318" s="440"/>
    </row>
    <row r="319" spans="2:12" ht="15" customHeight="1" x14ac:dyDescent="0.25">
      <c r="B319" s="290" t="s">
        <v>44</v>
      </c>
      <c r="C319" s="291"/>
      <c r="D319" s="291"/>
      <c r="E319" s="90">
        <f>G43</f>
        <v>247</v>
      </c>
      <c r="F319" s="82">
        <f>Summary!G28</f>
        <v>254</v>
      </c>
      <c r="G319" s="82">
        <f>Summary!H28</f>
        <v>253</v>
      </c>
      <c r="H319" s="82">
        <f>Summary!I28</f>
        <v>261</v>
      </c>
      <c r="I319" s="82">
        <f>Summary!J28</f>
        <v>258</v>
      </c>
      <c r="J319" s="82">
        <f>Summary!K28</f>
        <v>263</v>
      </c>
      <c r="K319" s="82">
        <f>Summary!L28</f>
        <v>266</v>
      </c>
      <c r="L319" s="82">
        <f>Summary!M28</f>
        <v>269</v>
      </c>
    </row>
    <row r="320" spans="2:12" ht="15" customHeight="1" x14ac:dyDescent="0.25">
      <c r="B320" s="333" t="s">
        <v>223</v>
      </c>
      <c r="C320" s="291"/>
      <c r="D320" s="291"/>
      <c r="E320" s="90">
        <f>G26*1000000</f>
        <v>209884489</v>
      </c>
      <c r="F320" s="82">
        <f>Summary!G29</f>
        <v>216238874.38999999</v>
      </c>
      <c r="G320" s="82">
        <f>Summary!H29</f>
        <v>200880475.03000003</v>
      </c>
      <c r="H320" s="82">
        <f>Summary!I29</f>
        <v>200346165.47999999</v>
      </c>
      <c r="I320" s="82">
        <f>Summary!J29</f>
        <v>199998668.12000006</v>
      </c>
      <c r="J320" s="82">
        <f>Summary!K29</f>
        <v>199953323.73000002</v>
      </c>
      <c r="K320" s="82">
        <f>Summary!L29</f>
        <v>195503598.31916356</v>
      </c>
      <c r="L320" s="82">
        <f>Summary!M29</f>
        <v>193697533.49953446</v>
      </c>
    </row>
    <row r="321" spans="2:12" ht="15" customHeight="1" x14ac:dyDescent="0.25">
      <c r="B321" s="333" t="s">
        <v>224</v>
      </c>
      <c r="C321" s="334"/>
      <c r="D321" s="334"/>
      <c r="E321" s="90">
        <f>+E320</f>
        <v>209884489</v>
      </c>
      <c r="F321" s="82">
        <f>+'Rate Class Energy Model'!T16</f>
        <v>206030678.48250046</v>
      </c>
      <c r="G321" s="82">
        <f>+'Rate Class Energy Model'!T17</f>
        <v>202768342.09427509</v>
      </c>
      <c r="H321" s="82">
        <f>+'Rate Class Energy Model'!T18</f>
        <v>205232482.30851299</v>
      </c>
      <c r="I321" s="82">
        <f>+'Rate Class Energy Model'!T19</f>
        <v>199229766.99956521</v>
      </c>
      <c r="J321" s="82">
        <f>+'Rate Class Energy Model'!T20</f>
        <v>199471952.99116987</v>
      </c>
      <c r="K321" s="90">
        <f>+K320</f>
        <v>195503598.31916356</v>
      </c>
      <c r="L321" s="90">
        <f>+L320</f>
        <v>193697533.49953446</v>
      </c>
    </row>
    <row r="322" spans="2:12" ht="15" customHeight="1" x14ac:dyDescent="0.25">
      <c r="B322" s="290" t="s">
        <v>227</v>
      </c>
      <c r="C322" s="291"/>
      <c r="D322" s="291"/>
      <c r="E322" s="90">
        <v>519864.63481550448</v>
      </c>
      <c r="F322" s="82">
        <f>Summary!G30</f>
        <v>537897.68000000017</v>
      </c>
      <c r="G322" s="82">
        <f>Summary!H30</f>
        <v>529360.3600000001</v>
      </c>
      <c r="H322" s="82">
        <f>Summary!I30</f>
        <v>528741.1399999999</v>
      </c>
      <c r="I322" s="82">
        <f>Summary!J30</f>
        <v>522247.32</v>
      </c>
      <c r="J322" s="82">
        <f>Summary!K30</f>
        <v>523294.41</v>
      </c>
      <c r="K322" s="82">
        <f>Summary!L30</f>
        <v>518926.85911675467</v>
      </c>
      <c r="L322" s="82">
        <f>Summary!M30</f>
        <v>514190.46940316743</v>
      </c>
    </row>
    <row r="323" spans="2:12" ht="15" customHeight="1" x14ac:dyDescent="0.25">
      <c r="B323" s="333" t="s">
        <v>228</v>
      </c>
      <c r="C323" s="334"/>
      <c r="D323" s="334"/>
      <c r="E323" s="90">
        <f>+E322</f>
        <v>519864.63481550448</v>
      </c>
      <c r="F323" s="90">
        <f>+'Rate Class Load Model'!N18</f>
        <v>523491.9375038062</v>
      </c>
      <c r="G323" s="90">
        <f>+'Rate Class Load Model'!N19</f>
        <v>515202.84769815218</v>
      </c>
      <c r="H323" s="90">
        <f>+'Rate Class Load Model'!N20</f>
        <v>521463.84506288206</v>
      </c>
      <c r="I323" s="90">
        <f>+'Rate Class Load Model'!N21</f>
        <v>506211.87826594833</v>
      </c>
      <c r="J323" s="90">
        <f>+'Rate Class Load Model'!N22</f>
        <v>506827.23523567343</v>
      </c>
      <c r="K323" s="90">
        <f>+K322</f>
        <v>518926.85911675467</v>
      </c>
      <c r="L323" s="90">
        <f>+L322</f>
        <v>514190.46940316743</v>
      </c>
    </row>
    <row r="324" spans="2:12" ht="15" customHeight="1" x14ac:dyDescent="0.25">
      <c r="B324" s="333" t="s">
        <v>229</v>
      </c>
      <c r="C324" s="334"/>
      <c r="D324" s="334"/>
      <c r="E324" s="90">
        <f>+E322/E319</f>
        <v>2104.7151207105444</v>
      </c>
      <c r="F324" s="90">
        <f t="shared" ref="F324:L324" si="52">+F322/F319</f>
        <v>2117.707401574804</v>
      </c>
      <c r="G324" s="90">
        <f t="shared" si="52"/>
        <v>2092.3334387351783</v>
      </c>
      <c r="H324" s="90">
        <f t="shared" si="52"/>
        <v>2025.8281226053637</v>
      </c>
      <c r="I324" s="90">
        <f t="shared" si="52"/>
        <v>2024.2144186046512</v>
      </c>
      <c r="J324" s="90">
        <f t="shared" si="52"/>
        <v>1989.7125855513307</v>
      </c>
      <c r="K324" s="90">
        <f t="shared" si="52"/>
        <v>1950.8528538223859</v>
      </c>
      <c r="L324" s="90">
        <f t="shared" si="52"/>
        <v>1911.4887338407711</v>
      </c>
    </row>
    <row r="325" spans="2:12" ht="15" customHeight="1" x14ac:dyDescent="0.25">
      <c r="B325" s="333" t="s">
        <v>230</v>
      </c>
      <c r="C325" s="334"/>
      <c r="D325" s="334"/>
      <c r="E325" s="90">
        <f>+E323/E319</f>
        <v>2104.7151207105444</v>
      </c>
      <c r="F325" s="90">
        <f t="shared" ref="F325:L325" si="53">+F323/F319</f>
        <v>2060.9918799362449</v>
      </c>
      <c r="G325" s="90">
        <f t="shared" si="53"/>
        <v>2036.374892087558</v>
      </c>
      <c r="H325" s="90">
        <f t="shared" si="53"/>
        <v>1997.9457665244524</v>
      </c>
      <c r="I325" s="90">
        <f t="shared" si="53"/>
        <v>1962.0615436664664</v>
      </c>
      <c r="J325" s="90">
        <f t="shared" si="53"/>
        <v>1927.0997537478077</v>
      </c>
      <c r="K325" s="90">
        <f t="shared" si="53"/>
        <v>1950.8528538223859</v>
      </c>
      <c r="L325" s="90">
        <f t="shared" si="53"/>
        <v>1911.4887338407711</v>
      </c>
    </row>
    <row r="326" spans="2:12" ht="15" customHeight="1" x14ac:dyDescent="0.25">
      <c r="B326" s="333"/>
      <c r="C326" s="334"/>
      <c r="D326" s="334"/>
      <c r="E326" s="338"/>
      <c r="F326" s="338"/>
      <c r="G326" s="338"/>
      <c r="H326" s="338"/>
      <c r="I326" s="338"/>
      <c r="J326" s="338"/>
      <c r="K326" s="338"/>
      <c r="L326" s="82"/>
    </row>
    <row r="327" spans="2:12" ht="15" customHeight="1" x14ac:dyDescent="0.25">
      <c r="B327" s="432" t="s">
        <v>149</v>
      </c>
      <c r="C327" s="433"/>
      <c r="D327" s="433"/>
      <c r="E327" s="433"/>
      <c r="F327" s="433"/>
      <c r="G327" s="433"/>
      <c r="H327" s="433"/>
      <c r="I327" s="433"/>
      <c r="J327" s="433"/>
      <c r="K327" s="433"/>
      <c r="L327" s="434"/>
    </row>
    <row r="328" spans="2:12" ht="15" customHeight="1" x14ac:dyDescent="0.2">
      <c r="B328" s="290" t="str">
        <f>B319</f>
        <v xml:space="preserve">  Customers</v>
      </c>
      <c r="C328" s="291"/>
      <c r="D328" s="291"/>
      <c r="E328" s="90"/>
      <c r="F328" s="222">
        <f t="shared" ref="F328:L329" si="54">IF(ISERROR((F319-$E319)/$E319),0,(F319-$E319)/$E319)</f>
        <v>2.8340080971659919E-2</v>
      </c>
      <c r="G328" s="222">
        <f t="shared" si="54"/>
        <v>2.4291497975708502E-2</v>
      </c>
      <c r="H328" s="222">
        <f t="shared" si="54"/>
        <v>5.6680161943319839E-2</v>
      </c>
      <c r="I328" s="222">
        <f t="shared" si="54"/>
        <v>4.4534412955465584E-2</v>
      </c>
      <c r="J328" s="222">
        <f t="shared" si="54"/>
        <v>6.4777327935222673E-2</v>
      </c>
      <c r="K328" s="222">
        <f t="shared" si="54"/>
        <v>7.6923076923076927E-2</v>
      </c>
      <c r="L328" s="222">
        <f t="shared" si="54"/>
        <v>8.9068825910931168E-2</v>
      </c>
    </row>
    <row r="329" spans="2:12" ht="15" customHeight="1" x14ac:dyDescent="0.2">
      <c r="B329" s="290" t="str">
        <f>B320</f>
        <v xml:space="preserve">  kWh - Actuals</v>
      </c>
      <c r="C329" s="291"/>
      <c r="D329" s="291"/>
      <c r="E329" s="90"/>
      <c r="F329" s="222">
        <f t="shared" si="54"/>
        <v>3.027563123066224E-2</v>
      </c>
      <c r="G329" s="222">
        <f t="shared" si="54"/>
        <v>-4.2899854166926883E-2</v>
      </c>
      <c r="H329" s="222">
        <f t="shared" si="54"/>
        <v>-4.5445585643062981E-2</v>
      </c>
      <c r="I329" s="222">
        <f t="shared" si="54"/>
        <v>-4.71012456761392E-2</v>
      </c>
      <c r="J329" s="222">
        <f t="shared" si="54"/>
        <v>-4.731729017859905E-2</v>
      </c>
      <c r="K329" s="222">
        <f t="shared" si="54"/>
        <v>-6.8518120368754071E-2</v>
      </c>
      <c r="L329" s="222">
        <f t="shared" si="54"/>
        <v>-7.7123162257433625E-2</v>
      </c>
    </row>
    <row r="330" spans="2:12" ht="15" customHeight="1" x14ac:dyDescent="0.2">
      <c r="B330" s="333" t="str">
        <f>B321</f>
        <v xml:space="preserve">  kWh - weather normalized</v>
      </c>
      <c r="C330" s="334"/>
      <c r="D330" s="334"/>
      <c r="E330" s="90"/>
      <c r="F330" s="222">
        <f>IF(ISERROR((F321-$E321)/$E321),0,(F321-$E321)/$E321)</f>
        <v>-1.8361578484723261E-2</v>
      </c>
      <c r="G330" s="222">
        <f t="shared" ref="G330:L330" si="55">IF(ISERROR((G321-$E321)/$E321),0,(G321-$E321)/$E321)</f>
        <v>-3.3905063397633509E-2</v>
      </c>
      <c r="H330" s="222">
        <f t="shared" si="55"/>
        <v>-2.2164604510088472E-2</v>
      </c>
      <c r="I330" s="222">
        <f t="shared" si="55"/>
        <v>-5.0764694671814388E-2</v>
      </c>
      <c r="J330" s="222">
        <f t="shared" si="55"/>
        <v>-4.9610793338950028E-2</v>
      </c>
      <c r="K330" s="222">
        <f t="shared" si="55"/>
        <v>-6.8518120368754071E-2</v>
      </c>
      <c r="L330" s="222">
        <f t="shared" si="55"/>
        <v>-7.7123162257433625E-2</v>
      </c>
    </row>
    <row r="331" spans="2:12" ht="15" customHeight="1" x14ac:dyDescent="0.2">
      <c r="B331" s="290" t="str">
        <f>B322</f>
        <v xml:space="preserve">  kW - Actuals</v>
      </c>
      <c r="C331" s="291"/>
      <c r="D331" s="291"/>
      <c r="E331" s="90"/>
      <c r="F331" s="222">
        <f>IF(ISERROR((F322-$E322)/$E322),0,(F322-$E322)/$E322)</f>
        <v>3.468796293653531E-2</v>
      </c>
      <c r="G331" s="222">
        <f t="shared" ref="G331:L331" si="56">IF(ISERROR((G322-$E322)/$E322),0,(G322-$E322)/$E322)</f>
        <v>1.8265764871398821E-2</v>
      </c>
      <c r="H331" s="222">
        <f t="shared" si="56"/>
        <v>1.7074647110099362E-2</v>
      </c>
      <c r="I331" s="222">
        <f t="shared" si="56"/>
        <v>4.5832800019972855E-3</v>
      </c>
      <c r="J331" s="222">
        <f t="shared" si="56"/>
        <v>6.5974389385280822E-3</v>
      </c>
      <c r="K331" s="222">
        <f t="shared" si="56"/>
        <v>-1.8038843882554596E-3</v>
      </c>
      <c r="L331" s="222">
        <f t="shared" si="56"/>
        <v>-1.0914697850817966E-2</v>
      </c>
    </row>
    <row r="332" spans="2:12" ht="15" customHeight="1" x14ac:dyDescent="0.2">
      <c r="B332" s="333" t="str">
        <f>B323</f>
        <v xml:space="preserve">  kW - Weather Normaiized</v>
      </c>
      <c r="C332" s="112"/>
      <c r="D332" s="112"/>
      <c r="E332" s="90"/>
      <c r="F332" s="222">
        <f>IF(ISERROR((F323-$E323)/$E323),0,(F323-$E323)/$E323)</f>
        <v>6.9773984329382479E-3</v>
      </c>
      <c r="G332" s="222">
        <f t="shared" ref="G332:L332" si="57">IF(ISERROR((G323-$E323)/$E323),0,(G323-$E323)/$E323)</f>
        <v>-8.9673095747448382E-3</v>
      </c>
      <c r="H332" s="222">
        <f t="shared" si="57"/>
        <v>3.0762051124041548E-3</v>
      </c>
      <c r="I332" s="222">
        <f t="shared" si="57"/>
        <v>-2.6262137555099135E-2</v>
      </c>
      <c r="J332" s="222">
        <f t="shared" si="57"/>
        <v>-2.5078450632553435E-2</v>
      </c>
      <c r="K332" s="222">
        <f t="shared" si="57"/>
        <v>-1.8038843882554596E-3</v>
      </c>
      <c r="L332" s="222">
        <f t="shared" si="57"/>
        <v>-1.0914697850817966E-2</v>
      </c>
    </row>
    <row r="333" spans="2:12" ht="9" customHeight="1" x14ac:dyDescent="0.25">
      <c r="B333" s="435"/>
      <c r="C333" s="436"/>
      <c r="D333" s="436"/>
      <c r="E333" s="436"/>
      <c r="F333" s="436"/>
      <c r="G333" s="436"/>
      <c r="H333" s="436"/>
      <c r="I333" s="436"/>
      <c r="J333" s="436"/>
      <c r="K333" s="436"/>
      <c r="L333" s="437"/>
    </row>
    <row r="334" spans="2:12" ht="15" customHeight="1" x14ac:dyDescent="0.25">
      <c r="B334" s="438" t="str">
        <f>Summary!A32</f>
        <v>General Service 3000 to 4999 kW</v>
      </c>
      <c r="C334" s="439"/>
      <c r="D334" s="439"/>
      <c r="E334" s="439"/>
      <c r="F334" s="439"/>
      <c r="G334" s="439"/>
      <c r="H334" s="439"/>
      <c r="I334" s="439"/>
      <c r="J334" s="439"/>
      <c r="K334" s="439"/>
      <c r="L334" s="440"/>
    </row>
    <row r="335" spans="2:12" ht="15" customHeight="1" x14ac:dyDescent="0.25">
      <c r="B335" s="290" t="s">
        <v>44</v>
      </c>
      <c r="C335" s="291"/>
      <c r="D335" s="291"/>
      <c r="E335" s="90">
        <f>+H43</f>
        <v>1</v>
      </c>
      <c r="F335" s="82">
        <f>Summary!G33</f>
        <v>1</v>
      </c>
      <c r="G335" s="82">
        <f>Summary!H33</f>
        <v>1</v>
      </c>
      <c r="H335" s="82">
        <f>Summary!I33</f>
        <v>1</v>
      </c>
      <c r="I335" s="82">
        <f>Summary!J33</f>
        <v>1</v>
      </c>
      <c r="J335" s="82">
        <f>Summary!K33</f>
        <v>1</v>
      </c>
      <c r="K335" s="82">
        <f>Summary!L33</f>
        <v>1</v>
      </c>
      <c r="L335" s="82">
        <f>Summary!M33</f>
        <v>1</v>
      </c>
    </row>
    <row r="336" spans="2:12" ht="15" customHeight="1" x14ac:dyDescent="0.25">
      <c r="B336" s="333" t="s">
        <v>223</v>
      </c>
      <c r="C336" s="291"/>
      <c r="D336" s="291"/>
      <c r="E336" s="90">
        <f>H26*1000000</f>
        <v>17254810</v>
      </c>
      <c r="F336" s="82">
        <f>Summary!G34</f>
        <v>17738635.890000001</v>
      </c>
      <c r="G336" s="82">
        <f>Summary!H34</f>
        <v>16805471.899999999</v>
      </c>
      <c r="H336" s="82">
        <f>Summary!I34</f>
        <v>16522751.91</v>
      </c>
      <c r="I336" s="82">
        <f>Summary!J34</f>
        <v>16185719.91</v>
      </c>
      <c r="J336" s="82">
        <f>Summary!K34</f>
        <v>15352959.899999999</v>
      </c>
      <c r="K336" s="82">
        <f>Summary!L34</f>
        <v>14897243.509943135</v>
      </c>
      <c r="L336" s="82">
        <f>Summary!M34</f>
        <v>14455053.985684082</v>
      </c>
    </row>
    <row r="337" spans="2:12" ht="15" customHeight="1" x14ac:dyDescent="0.25">
      <c r="B337" s="333" t="s">
        <v>224</v>
      </c>
      <c r="C337" s="334"/>
      <c r="D337" s="334"/>
      <c r="E337" s="90">
        <f>+E336</f>
        <v>17254810</v>
      </c>
      <c r="F337" s="82">
        <f>+'Rate Class Energy Model'!U16</f>
        <v>16901231.094919842</v>
      </c>
      <c r="G337" s="82">
        <f>+'Rate Class Energy Model'!U17</f>
        <v>16963409.085756212</v>
      </c>
      <c r="H337" s="82">
        <f>+'Rate Class Energy Model'!U18</f>
        <v>16925731.425568707</v>
      </c>
      <c r="I337" s="82">
        <f>+'Rate Class Energy Model'!U19</f>
        <v>16123493.40473959</v>
      </c>
      <c r="J337" s="82">
        <f>+'Rate Class Energy Model'!U20</f>
        <v>15315998.945751134</v>
      </c>
      <c r="K337" s="82">
        <f>+K336</f>
        <v>14897243.509943135</v>
      </c>
      <c r="L337" s="82">
        <f>+L336</f>
        <v>14455053.985684082</v>
      </c>
    </row>
    <row r="338" spans="2:12" ht="15" customHeight="1" x14ac:dyDescent="0.25">
      <c r="B338" s="333" t="s">
        <v>227</v>
      </c>
      <c r="C338" s="291"/>
      <c r="D338" s="291"/>
      <c r="E338" s="90">
        <v>33801.425697666316</v>
      </c>
      <c r="F338" s="82">
        <f>Summary!G35</f>
        <v>39466.039999999994</v>
      </c>
      <c r="G338" s="82">
        <f>Summary!H35</f>
        <v>35717.369999999995</v>
      </c>
      <c r="H338" s="82">
        <f>Summary!I35</f>
        <v>30516.22</v>
      </c>
      <c r="I338" s="82">
        <f>Summary!J35</f>
        <v>30271.190000000002</v>
      </c>
      <c r="J338" s="82">
        <f>Summary!K35</f>
        <v>29275.15</v>
      </c>
      <c r="K338" s="82">
        <f>Summary!L35</f>
        <v>27927.216521161627</v>
      </c>
      <c r="L338" s="82">
        <f>Summary!M35</f>
        <v>27098.262991662719</v>
      </c>
    </row>
    <row r="339" spans="2:12" ht="15" customHeight="1" x14ac:dyDescent="0.25">
      <c r="B339" s="333" t="s">
        <v>228</v>
      </c>
      <c r="C339" s="334"/>
      <c r="D339" s="334"/>
      <c r="E339" s="90">
        <f>+E338</f>
        <v>33801.425697666316</v>
      </c>
      <c r="F339" s="90">
        <f>+'Rate Class Load Model'!O18</f>
        <v>33217.437720696485</v>
      </c>
      <c r="G339" s="90">
        <f>+'Rate Class Load Model'!O19</f>
        <v>33339.641454058015</v>
      </c>
      <c r="H339" s="90">
        <f>+'Rate Class Load Model'!O20</f>
        <v>33265.590319929914</v>
      </c>
      <c r="I339" s="90">
        <f>+'Rate Class Load Model'!O21</f>
        <v>31688.883194608377</v>
      </c>
      <c r="J339" s="90">
        <f>+'Rate Class Load Model'!O22</f>
        <v>30101.845140953283</v>
      </c>
      <c r="K339" s="90">
        <f>+K338</f>
        <v>27927.216521161627</v>
      </c>
      <c r="L339" s="90">
        <f>+L338</f>
        <v>27098.262991662719</v>
      </c>
    </row>
    <row r="340" spans="2:12" ht="15" customHeight="1" x14ac:dyDescent="0.25">
      <c r="B340" s="333" t="s">
        <v>229</v>
      </c>
      <c r="C340" s="334"/>
      <c r="D340" s="334"/>
      <c r="E340" s="90">
        <f>+E338/E335</f>
        <v>33801.425697666316</v>
      </c>
      <c r="F340" s="90">
        <f t="shared" ref="F340:L340" si="58">+F338/F335</f>
        <v>39466.039999999994</v>
      </c>
      <c r="G340" s="90">
        <f t="shared" si="58"/>
        <v>35717.369999999995</v>
      </c>
      <c r="H340" s="90">
        <f t="shared" si="58"/>
        <v>30516.22</v>
      </c>
      <c r="I340" s="90">
        <f t="shared" si="58"/>
        <v>30271.190000000002</v>
      </c>
      <c r="J340" s="90">
        <f t="shared" si="58"/>
        <v>29275.15</v>
      </c>
      <c r="K340" s="90">
        <f t="shared" si="58"/>
        <v>27927.216521161627</v>
      </c>
      <c r="L340" s="90">
        <f t="shared" si="58"/>
        <v>27098.262991662719</v>
      </c>
    </row>
    <row r="341" spans="2:12" ht="15" customHeight="1" x14ac:dyDescent="0.25">
      <c r="B341" s="333" t="s">
        <v>230</v>
      </c>
      <c r="C341" s="334"/>
      <c r="D341" s="334"/>
      <c r="E341" s="90">
        <f>+E339/E335</f>
        <v>33801.425697666316</v>
      </c>
      <c r="F341" s="90">
        <f t="shared" ref="F341:L341" si="59">+F339/F335</f>
        <v>33217.437720696485</v>
      </c>
      <c r="G341" s="90">
        <f t="shared" si="59"/>
        <v>33339.641454058015</v>
      </c>
      <c r="H341" s="90">
        <f t="shared" si="59"/>
        <v>33265.590319929914</v>
      </c>
      <c r="I341" s="90">
        <f t="shared" si="59"/>
        <v>31688.883194608377</v>
      </c>
      <c r="J341" s="90">
        <f t="shared" si="59"/>
        <v>30101.845140953283</v>
      </c>
      <c r="K341" s="90">
        <f t="shared" si="59"/>
        <v>27927.216521161627</v>
      </c>
      <c r="L341" s="90">
        <f t="shared" si="59"/>
        <v>27098.262991662719</v>
      </c>
    </row>
    <row r="342" spans="2:12" ht="15" customHeight="1" x14ac:dyDescent="0.25">
      <c r="B342" s="432" t="s">
        <v>149</v>
      </c>
      <c r="C342" s="433"/>
      <c r="D342" s="433"/>
      <c r="E342" s="433"/>
      <c r="F342" s="433"/>
      <c r="G342" s="433"/>
      <c r="H342" s="433"/>
      <c r="I342" s="433"/>
      <c r="J342" s="433"/>
      <c r="K342" s="433"/>
      <c r="L342" s="434"/>
    </row>
    <row r="343" spans="2:12" ht="15" customHeight="1" x14ac:dyDescent="0.2">
      <c r="B343" s="290" t="str">
        <f>B335</f>
        <v xml:space="preserve">  Customers</v>
      </c>
      <c r="C343" s="291"/>
      <c r="D343" s="291"/>
      <c r="E343" s="90"/>
      <c r="F343" s="222">
        <f t="shared" ref="F343:L344" si="60">IF(ISERROR((F335-$E335)/$E335),0,(F335-$E335)/$E335)</f>
        <v>0</v>
      </c>
      <c r="G343" s="222">
        <f t="shared" si="60"/>
        <v>0</v>
      </c>
      <c r="H343" s="222">
        <f t="shared" si="60"/>
        <v>0</v>
      </c>
      <c r="I343" s="222">
        <f t="shared" si="60"/>
        <v>0</v>
      </c>
      <c r="J343" s="222">
        <f t="shared" si="60"/>
        <v>0</v>
      </c>
      <c r="K343" s="222">
        <f t="shared" si="60"/>
        <v>0</v>
      </c>
      <c r="L343" s="222">
        <f t="shared" si="60"/>
        <v>0</v>
      </c>
    </row>
    <row r="344" spans="2:12" ht="15" customHeight="1" x14ac:dyDescent="0.2">
      <c r="B344" s="290" t="str">
        <f>B336</f>
        <v xml:space="preserve">  kWh - Actuals</v>
      </c>
      <c r="C344" s="291"/>
      <c r="D344" s="291"/>
      <c r="E344" s="90"/>
      <c r="F344" s="222">
        <f t="shared" si="60"/>
        <v>2.8040058974859797E-2</v>
      </c>
      <c r="G344" s="222">
        <f t="shared" si="60"/>
        <v>-2.6041324129329822E-2</v>
      </c>
      <c r="H344" s="222">
        <f t="shared" si="60"/>
        <v>-4.2426319965273442E-2</v>
      </c>
      <c r="I344" s="222">
        <f t="shared" si="60"/>
        <v>-6.1958960429005006E-2</v>
      </c>
      <c r="J344" s="222">
        <f t="shared" si="60"/>
        <v>-0.11022144549838575</v>
      </c>
      <c r="K344" s="222">
        <f t="shared" si="60"/>
        <v>-0.13663242249882004</v>
      </c>
      <c r="L344" s="222">
        <f t="shared" si="60"/>
        <v>-0.16225945196243355</v>
      </c>
    </row>
    <row r="345" spans="2:12" ht="15" customHeight="1" x14ac:dyDescent="0.2">
      <c r="B345" s="333" t="str">
        <f t="shared" ref="B345:B347" si="61">B337</f>
        <v xml:space="preserve">  kWh - weather normalized</v>
      </c>
      <c r="C345" s="334"/>
      <c r="D345" s="334"/>
      <c r="E345" s="90"/>
      <c r="F345" s="222">
        <f>IF(ISERROR((F337-$E337)/$E337),0,(F337-$E337)/$E337)</f>
        <v>-2.0491613937224359E-2</v>
      </c>
      <c r="G345" s="222">
        <f t="shared" ref="G345:L345" si="62">IF(ISERROR((G337-$E337)/$E337),0,(G337-$E337)/$E337)</f>
        <v>-1.6888097535921145E-2</v>
      </c>
      <c r="H345" s="222">
        <f t="shared" si="62"/>
        <v>-1.9071700843491916E-2</v>
      </c>
      <c r="I345" s="222">
        <f t="shared" si="62"/>
        <v>-6.556528847668619E-2</v>
      </c>
      <c r="J345" s="222">
        <f t="shared" si="62"/>
        <v>-0.11236351221768688</v>
      </c>
      <c r="K345" s="222">
        <f t="shared" si="62"/>
        <v>-0.13663242249882004</v>
      </c>
      <c r="L345" s="222">
        <f t="shared" si="62"/>
        <v>-0.16225945196243355</v>
      </c>
    </row>
    <row r="346" spans="2:12" ht="15" customHeight="1" x14ac:dyDescent="0.2">
      <c r="B346" s="333" t="str">
        <f t="shared" si="61"/>
        <v xml:space="preserve">  kW - Actuals</v>
      </c>
      <c r="C346" s="291"/>
      <c r="D346" s="291"/>
      <c r="E346" s="90"/>
      <c r="F346" s="222">
        <f>IF(ISERROR((F338-$E338)/$E338),0,(F338-$E338)/$E338)</f>
        <v>0.16758507031627271</v>
      </c>
      <c r="G346" s="222">
        <f t="shared" ref="G346:L346" si="63">IF(ISERROR((G338-$E338)/$E338),0,(G338-$E338)/$E338)</f>
        <v>5.6682351788077318E-2</v>
      </c>
      <c r="H346" s="222">
        <f t="shared" si="63"/>
        <v>-9.7191335272379623E-2</v>
      </c>
      <c r="I346" s="222">
        <f t="shared" si="63"/>
        <v>-0.10444043778632819</v>
      </c>
      <c r="J346" s="222">
        <f t="shared" si="63"/>
        <v>-0.13390783389290037</v>
      </c>
      <c r="K346" s="222">
        <f t="shared" si="63"/>
        <v>-0.17378584054548477</v>
      </c>
      <c r="L346" s="222">
        <f t="shared" si="63"/>
        <v>-0.19831005845609612</v>
      </c>
    </row>
    <row r="347" spans="2:12" ht="15" customHeight="1" x14ac:dyDescent="0.2">
      <c r="B347" s="333" t="str">
        <f t="shared" si="61"/>
        <v xml:space="preserve">  kW - Weather Normaiized</v>
      </c>
      <c r="C347" s="112"/>
      <c r="D347" s="112"/>
      <c r="E347" s="90"/>
      <c r="F347" s="222">
        <f>IF(ISERROR((F339-$E339)/$E339),0,(F339-$E339)/$E339)</f>
        <v>-1.7277022046148487E-2</v>
      </c>
      <c r="G347" s="222">
        <f t="shared" ref="G347:L347" si="64">IF(ISERROR((G339-$E339)/$E339),0,(G339-$E339)/$E339)</f>
        <v>-1.3661679472892265E-2</v>
      </c>
      <c r="H347" s="222">
        <f t="shared" si="64"/>
        <v>-1.5852449021799615E-2</v>
      </c>
      <c r="I347" s="222">
        <f t="shared" si="64"/>
        <v>-6.2498621269806112E-2</v>
      </c>
      <c r="J347" s="222">
        <f t="shared" si="64"/>
        <v>-0.10945042939323285</v>
      </c>
      <c r="K347" s="222">
        <f t="shared" si="64"/>
        <v>-0.17378584054548477</v>
      </c>
      <c r="L347" s="222">
        <f t="shared" si="64"/>
        <v>-0.19831005845609612</v>
      </c>
    </row>
    <row r="348" spans="2:12" ht="9" customHeight="1" x14ac:dyDescent="0.25">
      <c r="B348" s="435"/>
      <c r="C348" s="436"/>
      <c r="D348" s="436"/>
      <c r="E348" s="436"/>
      <c r="F348" s="436"/>
      <c r="G348" s="436"/>
      <c r="H348" s="436"/>
      <c r="I348" s="436"/>
      <c r="J348" s="436"/>
      <c r="K348" s="436"/>
      <c r="L348" s="437"/>
    </row>
    <row r="349" spans="2:12" ht="15" customHeight="1" x14ac:dyDescent="0.25">
      <c r="B349" s="438" t="str">
        <f>Summary!A37</f>
        <v>Street Lighting</v>
      </c>
      <c r="C349" s="439"/>
      <c r="D349" s="439"/>
      <c r="E349" s="439"/>
      <c r="F349" s="439"/>
      <c r="G349" s="439"/>
      <c r="H349" s="439"/>
      <c r="I349" s="439"/>
      <c r="J349" s="439"/>
      <c r="K349" s="439"/>
      <c r="L349" s="440"/>
    </row>
    <row r="350" spans="2:12" ht="15" customHeight="1" x14ac:dyDescent="0.25">
      <c r="B350" s="290" t="s">
        <v>47</v>
      </c>
      <c r="C350" s="291"/>
      <c r="D350" s="291"/>
      <c r="E350" s="90">
        <f>I43</f>
        <v>5419</v>
      </c>
      <c r="F350" s="82">
        <f>Summary!G38</f>
        <v>5422</v>
      </c>
      <c r="G350" s="82">
        <f>Summary!H38</f>
        <v>5424</v>
      </c>
      <c r="H350" s="82">
        <f>Summary!I38</f>
        <v>5424</v>
      </c>
      <c r="I350" s="82">
        <f>Summary!J38</f>
        <v>5424</v>
      </c>
      <c r="J350" s="82">
        <f>Summary!K38</f>
        <v>5424</v>
      </c>
      <c r="K350" s="82">
        <f>Summary!L38</f>
        <v>5424</v>
      </c>
      <c r="L350" s="82">
        <f>Summary!M38</f>
        <v>5424</v>
      </c>
    </row>
    <row r="351" spans="2:12" ht="15" customHeight="1" x14ac:dyDescent="0.25">
      <c r="B351" s="333" t="s">
        <v>223</v>
      </c>
      <c r="C351" s="291"/>
      <c r="D351" s="291"/>
      <c r="E351" s="90">
        <f>I26*1000000</f>
        <v>2018762.0000000002</v>
      </c>
      <c r="F351" s="82">
        <f>Summary!G39</f>
        <v>2036368.7200000002</v>
      </c>
      <c r="G351" s="82">
        <f>Summary!H39</f>
        <v>2042501.58</v>
      </c>
      <c r="H351" s="82">
        <f>Summary!I39</f>
        <v>2036368.7200000002</v>
      </c>
      <c r="I351" s="82">
        <f>Summary!J39</f>
        <v>2031595.1800000002</v>
      </c>
      <c r="J351" s="82">
        <f>Summary!K39</f>
        <v>2036368.7200000002</v>
      </c>
      <c r="K351" s="82">
        <f>Summary!L39</f>
        <v>2036368.7200000002</v>
      </c>
      <c r="L351" s="82">
        <f>Summary!M39</f>
        <v>2036368.7200000002</v>
      </c>
    </row>
    <row r="352" spans="2:12" ht="15" customHeight="1" x14ac:dyDescent="0.25">
      <c r="B352" s="333" t="s">
        <v>224</v>
      </c>
      <c r="C352" s="334"/>
      <c r="D352" s="334"/>
      <c r="E352" s="90">
        <f>+E351</f>
        <v>2018762.0000000002</v>
      </c>
      <c r="F352" s="82">
        <f>+'Rate Class Energy Model'!V16</f>
        <v>1940235.9090412627</v>
      </c>
      <c r="G352" s="82">
        <f>+'Rate Class Energy Model'!V17</f>
        <v>2061696.9321666847</v>
      </c>
      <c r="H352" s="82">
        <f>+'Rate Class Energy Model'!V18</f>
        <v>2086034.4708854936</v>
      </c>
      <c r="I352" s="82">
        <f>+'Rate Class Energy Model'!V19</f>
        <v>2023784.6489356894</v>
      </c>
      <c r="J352" s="82">
        <f>+'Rate Class Energy Model'!V20</f>
        <v>2031466.3342982221</v>
      </c>
      <c r="K352" s="82">
        <f>+K351</f>
        <v>2036368.7200000002</v>
      </c>
      <c r="L352" s="82">
        <f>+L351</f>
        <v>2036368.7200000002</v>
      </c>
    </row>
    <row r="353" spans="2:12" ht="15" customHeight="1" x14ac:dyDescent="0.25">
      <c r="B353" s="333" t="s">
        <v>227</v>
      </c>
      <c r="C353" s="291"/>
      <c r="D353" s="291"/>
      <c r="E353" s="90">
        <v>5641.08</v>
      </c>
      <c r="F353" s="82">
        <f>Summary!G40</f>
        <v>5690.27</v>
      </c>
      <c r="G353" s="82">
        <f>Summary!H40</f>
        <v>5690.28</v>
      </c>
      <c r="H353" s="82">
        <f>Summary!I40</f>
        <v>5690.28</v>
      </c>
      <c r="I353" s="82">
        <f>Summary!J40</f>
        <v>5690.28</v>
      </c>
      <c r="J353" s="82">
        <f>Summary!K40</f>
        <v>5690.28</v>
      </c>
      <c r="K353" s="82">
        <f>Summary!L40</f>
        <v>5690.28</v>
      </c>
      <c r="L353" s="82">
        <f>Summary!M40</f>
        <v>5690.28</v>
      </c>
    </row>
    <row r="354" spans="2:12" ht="15" customHeight="1" x14ac:dyDescent="0.25">
      <c r="B354" s="333" t="s">
        <v>228</v>
      </c>
      <c r="C354" s="334"/>
      <c r="D354" s="334"/>
      <c r="E354" s="90">
        <f>+E353</f>
        <v>5641.08</v>
      </c>
      <c r="F354" s="90">
        <f>+'Rate Class Load Model'!P18</f>
        <v>5426.957697973914</v>
      </c>
      <c r="G354" s="90">
        <f>+'Rate Class Load Model'!P19</f>
        <v>5766.691557852846</v>
      </c>
      <c r="H354" s="90">
        <f>+'Rate Class Load Model'!P20</f>
        <v>5834.7651320426166</v>
      </c>
      <c r="I354" s="90">
        <f>+'Rate Class Load Model'!P21</f>
        <v>5660.6485986593498</v>
      </c>
      <c r="J354" s="90">
        <f>+'Rate Class Load Model'!P22</f>
        <v>5682.1347392453217</v>
      </c>
      <c r="K354" s="90">
        <f>+K353</f>
        <v>5690.28</v>
      </c>
      <c r="L354" s="90">
        <f>+L353</f>
        <v>5690.28</v>
      </c>
    </row>
    <row r="355" spans="2:12" ht="15" customHeight="1" x14ac:dyDescent="0.25">
      <c r="B355" s="333" t="s">
        <v>229</v>
      </c>
      <c r="C355" s="334"/>
      <c r="D355" s="334"/>
      <c r="E355" s="83">
        <f>+E353/E350</f>
        <v>1.0409817309466691</v>
      </c>
      <c r="F355" s="83">
        <f t="shared" ref="F355:L355" si="65">+F353/F350</f>
        <v>1.049478052379196</v>
      </c>
      <c r="G355" s="83">
        <f t="shared" si="65"/>
        <v>1.0490929203539823</v>
      </c>
      <c r="H355" s="83">
        <f t="shared" si="65"/>
        <v>1.0490929203539823</v>
      </c>
      <c r="I355" s="83">
        <f t="shared" si="65"/>
        <v>1.0490929203539823</v>
      </c>
      <c r="J355" s="83">
        <f t="shared" si="65"/>
        <v>1.0490929203539823</v>
      </c>
      <c r="K355" s="83">
        <f t="shared" si="65"/>
        <v>1.0490929203539823</v>
      </c>
      <c r="L355" s="83">
        <f t="shared" si="65"/>
        <v>1.0490929203539823</v>
      </c>
    </row>
    <row r="356" spans="2:12" ht="15" customHeight="1" x14ac:dyDescent="0.25">
      <c r="B356" s="333" t="s">
        <v>230</v>
      </c>
      <c r="C356" s="334"/>
      <c r="D356" s="334"/>
      <c r="E356" s="83">
        <f>+E354/E350</f>
        <v>1.0409817309466691</v>
      </c>
      <c r="F356" s="83">
        <f t="shared" ref="F356:L356" si="66">+F354/F350</f>
        <v>1.0009143670184275</v>
      </c>
      <c r="G356" s="83">
        <f t="shared" si="66"/>
        <v>1.0631805969492709</v>
      </c>
      <c r="H356" s="83">
        <f t="shared" si="66"/>
        <v>1.075731034668624</v>
      </c>
      <c r="I356" s="83">
        <f t="shared" si="66"/>
        <v>1.0436299038826236</v>
      </c>
      <c r="J356" s="83">
        <f t="shared" si="66"/>
        <v>1.0475912129877067</v>
      </c>
      <c r="K356" s="83">
        <f t="shared" si="66"/>
        <v>1.0490929203539823</v>
      </c>
      <c r="L356" s="83">
        <f t="shared" si="66"/>
        <v>1.0490929203539823</v>
      </c>
    </row>
    <row r="357" spans="2:12" ht="15" customHeight="1" x14ac:dyDescent="0.25">
      <c r="B357" s="432" t="s">
        <v>149</v>
      </c>
      <c r="C357" s="433"/>
      <c r="D357" s="433"/>
      <c r="E357" s="433"/>
      <c r="F357" s="433"/>
      <c r="G357" s="433"/>
      <c r="H357" s="433"/>
      <c r="I357" s="433"/>
      <c r="J357" s="433"/>
      <c r="K357" s="433"/>
      <c r="L357" s="434"/>
    </row>
    <row r="358" spans="2:12" ht="15" customHeight="1" x14ac:dyDescent="0.2">
      <c r="B358" s="290" t="str">
        <f>B350</f>
        <v xml:space="preserve">  Connections</v>
      </c>
      <c r="C358" s="291"/>
      <c r="D358" s="291"/>
      <c r="E358" s="90"/>
      <c r="F358" s="222">
        <f t="shared" ref="F358:L358" si="67">IF(ISERROR((F350-$E350)/$E350),0,(F350-$E350)/$E350)</f>
        <v>5.5360767669311681E-4</v>
      </c>
      <c r="G358" s="222">
        <f t="shared" si="67"/>
        <v>9.2267946115519469E-4</v>
      </c>
      <c r="H358" s="222">
        <f t="shared" si="67"/>
        <v>9.2267946115519469E-4</v>
      </c>
      <c r="I358" s="222">
        <f t="shared" si="67"/>
        <v>9.2267946115519469E-4</v>
      </c>
      <c r="J358" s="222">
        <f t="shared" si="67"/>
        <v>9.2267946115519469E-4</v>
      </c>
      <c r="K358" s="222">
        <f t="shared" si="67"/>
        <v>9.2267946115519469E-4</v>
      </c>
      <c r="L358" s="222">
        <f t="shared" si="67"/>
        <v>9.2267946115519469E-4</v>
      </c>
    </row>
    <row r="359" spans="2:12" ht="15" customHeight="1" x14ac:dyDescent="0.2">
      <c r="B359" s="290" t="str">
        <f>B351</f>
        <v xml:space="preserve">  kWh - Actuals</v>
      </c>
      <c r="C359" s="291"/>
      <c r="D359" s="291"/>
      <c r="E359" s="90"/>
      <c r="F359" s="222">
        <f>IF(ISERROR((F351-$E351)/$E351),0,(F351-$E351)/$E351)</f>
        <v>8.7215432032106653E-3</v>
      </c>
      <c r="G359" s="222">
        <f t="shared" ref="G359:L359" si="68">IF(ISERROR((G351-$E351)/$E351),0,(G351-$E351)/$E351)</f>
        <v>1.1759474370926261E-2</v>
      </c>
      <c r="H359" s="222">
        <f t="shared" si="68"/>
        <v>8.7215432032106653E-3</v>
      </c>
      <c r="I359" s="222">
        <f t="shared" si="68"/>
        <v>6.3569554013796241E-3</v>
      </c>
      <c r="J359" s="222">
        <f t="shared" si="68"/>
        <v>8.7215432032106653E-3</v>
      </c>
      <c r="K359" s="222">
        <f t="shared" si="68"/>
        <v>8.7215432032106653E-3</v>
      </c>
      <c r="L359" s="222">
        <f t="shared" si="68"/>
        <v>8.7215432032106653E-3</v>
      </c>
    </row>
    <row r="360" spans="2:12" ht="15" customHeight="1" x14ac:dyDescent="0.2">
      <c r="B360" s="333" t="str">
        <f t="shared" ref="B360:B362" si="69">B352</f>
        <v xml:space="preserve">  kWh - weather normalized</v>
      </c>
      <c r="C360" s="334"/>
      <c r="D360" s="334"/>
      <c r="E360" s="90"/>
      <c r="F360" s="222">
        <f t="shared" ref="F360:L362" si="70">IF(ISERROR((F352-$E352)/$E352),0,(F352-$E352)/$E352)</f>
        <v>-3.8898142009180639E-2</v>
      </c>
      <c r="G360" s="222">
        <f t="shared" si="70"/>
        <v>2.1267951430968293E-2</v>
      </c>
      <c r="H360" s="222">
        <f t="shared" si="70"/>
        <v>3.332362650252646E-2</v>
      </c>
      <c r="I360" s="222">
        <f t="shared" si="70"/>
        <v>2.4879846835283827E-3</v>
      </c>
      <c r="J360" s="222">
        <f t="shared" si="70"/>
        <v>6.2931312845307466E-3</v>
      </c>
      <c r="K360" s="222">
        <f t="shared" si="70"/>
        <v>8.7215432032106653E-3</v>
      </c>
      <c r="L360" s="222">
        <f t="shared" si="70"/>
        <v>8.7215432032106653E-3</v>
      </c>
    </row>
    <row r="361" spans="2:12" ht="15" customHeight="1" x14ac:dyDescent="0.2">
      <c r="B361" s="333" t="str">
        <f t="shared" si="69"/>
        <v xml:space="preserve">  kW - Actuals</v>
      </c>
      <c r="C361" s="291"/>
      <c r="D361" s="291"/>
      <c r="E361" s="90"/>
      <c r="F361" s="222">
        <f t="shared" si="70"/>
        <v>8.7199614258263499E-3</v>
      </c>
      <c r="G361" s="222">
        <f t="shared" si="70"/>
        <v>8.7217341360164759E-3</v>
      </c>
      <c r="H361" s="222">
        <f t="shared" si="70"/>
        <v>8.7217341360164759E-3</v>
      </c>
      <c r="I361" s="222">
        <f t="shared" si="70"/>
        <v>8.7217341360164759E-3</v>
      </c>
      <c r="J361" s="222">
        <f t="shared" si="70"/>
        <v>8.7217341360164759E-3</v>
      </c>
      <c r="K361" s="222">
        <f t="shared" si="70"/>
        <v>8.7217341360164759E-3</v>
      </c>
      <c r="L361" s="222">
        <f t="shared" si="70"/>
        <v>8.7217341360164759E-3</v>
      </c>
    </row>
    <row r="362" spans="2:12" ht="15" customHeight="1" x14ac:dyDescent="0.2">
      <c r="B362" s="333" t="str">
        <f t="shared" si="69"/>
        <v xml:space="preserve">  kW - Weather Normaiized</v>
      </c>
      <c r="C362" s="112"/>
      <c r="D362" s="112"/>
      <c r="E362" s="90"/>
      <c r="F362" s="222">
        <f t="shared" si="70"/>
        <v>-3.795767867608435E-2</v>
      </c>
      <c r="G362" s="222">
        <f t="shared" si="70"/>
        <v>2.2267288861857321E-2</v>
      </c>
      <c r="H362" s="222">
        <f t="shared" si="70"/>
        <v>3.4334760727133228E-2</v>
      </c>
      <c r="I362" s="222">
        <f t="shared" si="70"/>
        <v>3.4689454252288298E-3</v>
      </c>
      <c r="J362" s="222">
        <f t="shared" si="70"/>
        <v>7.277815461812596E-3</v>
      </c>
      <c r="K362" s="222">
        <f t="shared" si="70"/>
        <v>8.7217341360164759E-3</v>
      </c>
      <c r="L362" s="222">
        <f t="shared" si="70"/>
        <v>8.7217341360164759E-3</v>
      </c>
    </row>
    <row r="363" spans="2:12" ht="9" customHeight="1" x14ac:dyDescent="0.25">
      <c r="B363" s="435"/>
      <c r="C363" s="436"/>
      <c r="D363" s="436"/>
      <c r="E363" s="436"/>
      <c r="F363" s="436"/>
      <c r="G363" s="436"/>
      <c r="H363" s="436"/>
      <c r="I363" s="436"/>
      <c r="J363" s="436"/>
      <c r="K363" s="436"/>
      <c r="L363" s="437"/>
    </row>
    <row r="364" spans="2:12" ht="15" customHeight="1" x14ac:dyDescent="0.25">
      <c r="B364" s="438" t="str">
        <f>Summary!A42</f>
        <v>Sentinel Lighting</v>
      </c>
      <c r="C364" s="439"/>
      <c r="D364" s="439"/>
      <c r="E364" s="439"/>
      <c r="F364" s="439"/>
      <c r="G364" s="439"/>
      <c r="H364" s="439"/>
      <c r="I364" s="439"/>
      <c r="J364" s="439"/>
      <c r="K364" s="439"/>
      <c r="L364" s="440"/>
    </row>
    <row r="365" spans="2:12" ht="15" customHeight="1" x14ac:dyDescent="0.25">
      <c r="B365" s="290" t="s">
        <v>47</v>
      </c>
      <c r="C365" s="291"/>
      <c r="D365" s="291"/>
      <c r="E365" s="90">
        <f>+J43</f>
        <v>412</v>
      </c>
      <c r="F365" s="82">
        <f>Summary!G43</f>
        <v>402</v>
      </c>
      <c r="G365" s="82">
        <f>Summary!H43</f>
        <v>444</v>
      </c>
      <c r="H365" s="82">
        <f>Summary!I43</f>
        <v>436</v>
      </c>
      <c r="I365" s="82">
        <f>Summary!J43</f>
        <v>425</v>
      </c>
      <c r="J365" s="82">
        <f>Summary!K43</f>
        <v>417</v>
      </c>
      <c r="K365" s="82">
        <f>Summary!L43</f>
        <v>408</v>
      </c>
      <c r="L365" s="82">
        <f>Summary!M43</f>
        <v>400</v>
      </c>
    </row>
    <row r="366" spans="2:12" ht="15" customHeight="1" x14ac:dyDescent="0.25">
      <c r="B366" s="333" t="s">
        <v>223</v>
      </c>
      <c r="C366" s="291"/>
      <c r="D366" s="291"/>
      <c r="E366" s="90">
        <f>J26*1000000</f>
        <v>405959.29</v>
      </c>
      <c r="F366" s="82">
        <f>Summary!G44</f>
        <v>373880.03000000049</v>
      </c>
      <c r="G366" s="82">
        <f>Summary!H44</f>
        <v>156291.07</v>
      </c>
      <c r="H366" s="82">
        <f>Summary!I44</f>
        <v>129075.95999999989</v>
      </c>
      <c r="I366" s="82">
        <f>Summary!J44</f>
        <v>124703.3299999999</v>
      </c>
      <c r="J366" s="82">
        <f>Summary!K44</f>
        <v>122420.49</v>
      </c>
      <c r="K366" s="82">
        <f>Summary!L44</f>
        <v>119778.32115107913</v>
      </c>
      <c r="L366" s="82">
        <f>Summary!M44</f>
        <v>117429.72661870504</v>
      </c>
    </row>
    <row r="367" spans="2:12" ht="15" customHeight="1" x14ac:dyDescent="0.25">
      <c r="B367" s="333" t="s">
        <v>224</v>
      </c>
      <c r="C367" s="334"/>
      <c r="D367" s="334"/>
      <c r="E367" s="90">
        <f>+E366</f>
        <v>405959.29</v>
      </c>
      <c r="F367" s="82">
        <f>+'Rate Class Energy Model'!W16</f>
        <v>356229.91688824672</v>
      </c>
      <c r="G367" s="82">
        <f>+'Rate Class Energy Model'!W17</f>
        <v>157759.88753166524</v>
      </c>
      <c r="H367" s="82">
        <f>+'Rate Class Energy Model'!W18</f>
        <v>132224.04139199154</v>
      </c>
      <c r="I367" s="82">
        <f>+'Rate Class Energy Model'!W19</f>
        <v>124223.90415651666</v>
      </c>
      <c r="J367" s="82">
        <f>+'Rate Class Energy Model'!W20</f>
        <v>122125.77300995475</v>
      </c>
      <c r="K367" s="90">
        <f>+K366</f>
        <v>119778.32115107913</v>
      </c>
      <c r="L367" s="90">
        <f>+L366</f>
        <v>117429.72661870504</v>
      </c>
    </row>
    <row r="368" spans="2:12" ht="15" customHeight="1" x14ac:dyDescent="0.25">
      <c r="B368" s="333" t="s">
        <v>227</v>
      </c>
      <c r="C368" s="291"/>
      <c r="D368" s="291"/>
      <c r="E368" s="90">
        <v>1193.4344347067597</v>
      </c>
      <c r="F368" s="90">
        <f>Summary!G45</f>
        <v>1033.7400000000014</v>
      </c>
      <c r="G368" s="90">
        <f>Summary!H45</f>
        <v>406.11999999999938</v>
      </c>
      <c r="H368" s="90">
        <f>Summary!I45</f>
        <v>329.73999999999944</v>
      </c>
      <c r="I368" s="90">
        <f>Summary!J45</f>
        <v>315.71999999999952</v>
      </c>
      <c r="J368" s="90">
        <f>Summary!K45</f>
        <v>310.34000000000003</v>
      </c>
      <c r="K368" s="90">
        <f>Summary!L45</f>
        <v>304.29369952634471</v>
      </c>
      <c r="L368" s="90">
        <f>Summary!M45</f>
        <v>298.32715639837716</v>
      </c>
    </row>
    <row r="369" spans="2:12" ht="15" customHeight="1" x14ac:dyDescent="0.25">
      <c r="B369" s="333" t="s">
        <v>228</v>
      </c>
      <c r="C369" s="334"/>
      <c r="D369" s="334"/>
      <c r="E369" s="90">
        <f>+E368</f>
        <v>1193.4344347067597</v>
      </c>
      <c r="F369" s="90">
        <f>+'Rate Class Load Model'!Q18</f>
        <v>968.30222985814169</v>
      </c>
      <c r="G369" s="90">
        <f>+'Rate Class Load Model'!Q19</f>
        <v>428.82207146853239</v>
      </c>
      <c r="H369" s="90">
        <f>+'Rate Class Load Model'!Q20</f>
        <v>359.41067285734442</v>
      </c>
      <c r="I369" s="90">
        <f>+'Rate Class Load Model'!Q21</f>
        <v>337.66474317252329</v>
      </c>
      <c r="J369" s="90">
        <f>+'Rate Class Load Model'!Q22</f>
        <v>331.96161445863692</v>
      </c>
      <c r="K369" s="90">
        <f>+K368</f>
        <v>304.29369952634471</v>
      </c>
      <c r="L369" s="90">
        <f>+L368</f>
        <v>298.32715639837716</v>
      </c>
    </row>
    <row r="370" spans="2:12" ht="15" customHeight="1" x14ac:dyDescent="0.25">
      <c r="B370" s="333" t="s">
        <v>229</v>
      </c>
      <c r="C370" s="334"/>
      <c r="D370" s="334"/>
      <c r="E370" s="90">
        <f>+E368/E365</f>
        <v>2.8966855211329121</v>
      </c>
      <c r="F370" s="90">
        <f t="shared" ref="F370:L370" si="71">+F368/F365</f>
        <v>2.5714925373134361</v>
      </c>
      <c r="G370" s="90">
        <f t="shared" si="71"/>
        <v>0.91468468468468334</v>
      </c>
      <c r="H370" s="90">
        <f t="shared" si="71"/>
        <v>0.75628440366972349</v>
      </c>
      <c r="I370" s="90">
        <f t="shared" si="71"/>
        <v>0.74287058823529295</v>
      </c>
      <c r="J370" s="90">
        <f t="shared" si="71"/>
        <v>0.74422062350119911</v>
      </c>
      <c r="K370" s="90">
        <f t="shared" si="71"/>
        <v>0.74581789099594287</v>
      </c>
      <c r="L370" s="90">
        <f t="shared" si="71"/>
        <v>0.74581789099594287</v>
      </c>
    </row>
    <row r="371" spans="2:12" ht="15" customHeight="1" x14ac:dyDescent="0.25">
      <c r="B371" s="333" t="s">
        <v>230</v>
      </c>
      <c r="C371" s="334"/>
      <c r="D371" s="334"/>
      <c r="E371" s="90">
        <f>+E369/E365</f>
        <v>2.8966855211329121</v>
      </c>
      <c r="F371" s="90">
        <f t="shared" ref="F371:L371" si="72">+F369/F365</f>
        <v>2.4087120145724916</v>
      </c>
      <c r="G371" s="90">
        <f t="shared" si="72"/>
        <v>0.96581547628047837</v>
      </c>
      <c r="H371" s="90">
        <f t="shared" si="72"/>
        <v>0.8243364056361111</v>
      </c>
      <c r="I371" s="90">
        <f t="shared" si="72"/>
        <v>0.79450527805299598</v>
      </c>
      <c r="J371" s="90">
        <f t="shared" si="72"/>
        <v>0.79607101788641943</v>
      </c>
      <c r="K371" s="90">
        <f t="shared" si="72"/>
        <v>0.74581789099594287</v>
      </c>
      <c r="L371" s="90">
        <f t="shared" si="72"/>
        <v>0.74581789099594287</v>
      </c>
    </row>
    <row r="372" spans="2:12" ht="15" customHeight="1" x14ac:dyDescent="0.25">
      <c r="B372" s="432" t="s">
        <v>149</v>
      </c>
      <c r="C372" s="433"/>
      <c r="D372" s="433"/>
      <c r="E372" s="433"/>
      <c r="F372" s="433"/>
      <c r="G372" s="433"/>
      <c r="H372" s="433"/>
      <c r="I372" s="433"/>
      <c r="J372" s="433"/>
      <c r="K372" s="433"/>
      <c r="L372" s="434"/>
    </row>
    <row r="373" spans="2:12" ht="15" customHeight="1" x14ac:dyDescent="0.2">
      <c r="B373" s="290" t="str">
        <f>B365</f>
        <v xml:space="preserve">  Connections</v>
      </c>
      <c r="C373" s="291"/>
      <c r="D373" s="291"/>
      <c r="E373" s="90"/>
      <c r="F373" s="222">
        <f t="shared" ref="F373:L373" si="73">IF(ISERROR((F365-$E365)/$E365),0,(F365-$E365)/$E365)</f>
        <v>-2.4271844660194174E-2</v>
      </c>
      <c r="G373" s="222">
        <f t="shared" si="73"/>
        <v>7.7669902912621352E-2</v>
      </c>
      <c r="H373" s="222">
        <f t="shared" si="73"/>
        <v>5.8252427184466021E-2</v>
      </c>
      <c r="I373" s="222">
        <f t="shared" si="73"/>
        <v>3.1553398058252427E-2</v>
      </c>
      <c r="J373" s="222">
        <f t="shared" si="73"/>
        <v>1.2135922330097087E-2</v>
      </c>
      <c r="K373" s="222">
        <f t="shared" si="73"/>
        <v>-9.7087378640776691E-3</v>
      </c>
      <c r="L373" s="222">
        <f t="shared" si="73"/>
        <v>-2.9126213592233011E-2</v>
      </c>
    </row>
    <row r="374" spans="2:12" ht="15" customHeight="1" x14ac:dyDescent="0.2">
      <c r="B374" s="290" t="str">
        <f>B366</f>
        <v xml:space="preserve">  kWh - Actuals</v>
      </c>
      <c r="C374" s="291"/>
      <c r="D374" s="291"/>
      <c r="E374" s="90"/>
      <c r="F374" s="222">
        <f>IF(ISERROR((F366-$E366)/$E366),0,(F366-$E366)/$E366)</f>
        <v>-7.902087916253743E-2</v>
      </c>
      <c r="G374" s="222">
        <f t="shared" ref="G374:L374" si="74">IF(ISERROR((G366-$E366)/$E366),0,(G366-$E366)/$E366)</f>
        <v>-0.6150080221098031</v>
      </c>
      <c r="H374" s="222">
        <f t="shared" si="74"/>
        <v>-0.68204703481474727</v>
      </c>
      <c r="I374" s="222">
        <f t="shared" si="74"/>
        <v>-0.6928181394740347</v>
      </c>
      <c r="J374" s="222">
        <f t="shared" si="74"/>
        <v>-0.69844146195053203</v>
      </c>
      <c r="K374" s="222">
        <f t="shared" si="74"/>
        <v>-0.70494991960627595</v>
      </c>
      <c r="L374" s="222">
        <f t="shared" si="74"/>
        <v>-0.71073521530027051</v>
      </c>
    </row>
    <row r="375" spans="2:12" ht="15" customHeight="1" x14ac:dyDescent="0.2">
      <c r="B375" s="333" t="str">
        <f t="shared" ref="B375:B377" si="75">B367</f>
        <v xml:space="preserve">  kWh - weather normalized</v>
      </c>
      <c r="C375" s="334"/>
      <c r="D375" s="334"/>
      <c r="E375" s="90"/>
      <c r="F375" s="222">
        <f t="shared" ref="F375:L377" si="76">IF(ISERROR((F367-$E367)/$E367),0,(F367-$E367)/$E367)</f>
        <v>-0.1224984237009412</v>
      </c>
      <c r="G375" s="222">
        <f t="shared" si="76"/>
        <v>-0.61138988214393308</v>
      </c>
      <c r="H375" s="222">
        <f t="shared" si="76"/>
        <v>-0.67429236219229871</v>
      </c>
      <c r="I375" s="222">
        <f t="shared" si="76"/>
        <v>-0.69399910972226631</v>
      </c>
      <c r="J375" s="222">
        <f t="shared" si="76"/>
        <v>-0.69916743866126385</v>
      </c>
      <c r="K375" s="222">
        <f t="shared" si="76"/>
        <v>-0.70494991960627595</v>
      </c>
      <c r="L375" s="222">
        <f t="shared" si="76"/>
        <v>-0.71073521530027051</v>
      </c>
    </row>
    <row r="376" spans="2:12" ht="15" customHeight="1" x14ac:dyDescent="0.2">
      <c r="B376" s="333" t="str">
        <f t="shared" si="75"/>
        <v xml:space="preserve">  kW - Actuals</v>
      </c>
      <c r="C376" s="291"/>
      <c r="D376" s="291"/>
      <c r="E376" s="90"/>
      <c r="F376" s="222">
        <f t="shared" si="76"/>
        <v>-0.13381081529292144</v>
      </c>
      <c r="G376" s="222">
        <f t="shared" si="76"/>
        <v>-0.6597048080820731</v>
      </c>
      <c r="H376" s="222">
        <f t="shared" si="76"/>
        <v>-0.72370497246376142</v>
      </c>
      <c r="I376" s="222">
        <f t="shared" si="76"/>
        <v>-0.73545258053696472</v>
      </c>
      <c r="J376" s="222">
        <f t="shared" si="76"/>
        <v>-0.73996057849943464</v>
      </c>
      <c r="K376" s="222">
        <f t="shared" si="76"/>
        <v>-0.74502688151350938</v>
      </c>
      <c r="L376" s="222">
        <f t="shared" si="76"/>
        <v>-0.75002635442500909</v>
      </c>
    </row>
    <row r="377" spans="2:12" ht="15" customHeight="1" x14ac:dyDescent="0.2">
      <c r="B377" s="333" t="str">
        <f t="shared" si="75"/>
        <v xml:space="preserve">  kW - Weather Normaiized</v>
      </c>
      <c r="C377" s="112"/>
      <c r="D377" s="112"/>
      <c r="E377" s="90"/>
      <c r="F377" s="222">
        <f t="shared" si="76"/>
        <v>-0.18864229010111941</v>
      </c>
      <c r="G377" s="222">
        <f t="shared" si="76"/>
        <v>-0.64068233746422876</v>
      </c>
      <c r="H377" s="222">
        <f t="shared" si="76"/>
        <v>-0.69884338644405231</v>
      </c>
      <c r="I377" s="222">
        <f t="shared" si="76"/>
        <v>-0.71706468880672836</v>
      </c>
      <c r="J377" s="222">
        <f t="shared" si="76"/>
        <v>-0.72184344208217555</v>
      </c>
      <c r="K377" s="222">
        <f t="shared" si="76"/>
        <v>-0.74502688151350938</v>
      </c>
      <c r="L377" s="222">
        <f t="shared" si="76"/>
        <v>-0.75002635442500909</v>
      </c>
    </row>
    <row r="378" spans="2:12" ht="9" customHeight="1" x14ac:dyDescent="0.25">
      <c r="B378" s="435"/>
      <c r="C378" s="436"/>
      <c r="D378" s="436"/>
      <c r="E378" s="436"/>
      <c r="F378" s="436"/>
      <c r="G378" s="436"/>
      <c r="H378" s="436"/>
      <c r="I378" s="436"/>
      <c r="J378" s="436"/>
      <c r="K378" s="436"/>
      <c r="L378" s="437"/>
    </row>
    <row r="379" spans="2:12" ht="15" customHeight="1" x14ac:dyDescent="0.25">
      <c r="B379" s="438" t="str">
        <f>Summary!A47</f>
        <v xml:space="preserve">Unmetered Scattered Load </v>
      </c>
      <c r="C379" s="439"/>
      <c r="D379" s="439"/>
      <c r="E379" s="439"/>
      <c r="F379" s="439"/>
      <c r="G379" s="439"/>
      <c r="H379" s="439"/>
      <c r="I379" s="439"/>
      <c r="J379" s="439"/>
      <c r="K379" s="439"/>
      <c r="L379" s="440"/>
    </row>
    <row r="380" spans="2:12" ht="15" customHeight="1" x14ac:dyDescent="0.25">
      <c r="B380" s="290" t="s">
        <v>44</v>
      </c>
      <c r="C380" s="291"/>
      <c r="D380" s="291"/>
      <c r="E380" s="90">
        <f>K43</f>
        <v>7</v>
      </c>
      <c r="F380" s="82">
        <f>Summary!G48</f>
        <v>10</v>
      </c>
      <c r="G380" s="82">
        <f>Summary!H48</f>
        <v>10</v>
      </c>
      <c r="H380" s="82">
        <f>Summary!I48</f>
        <v>10</v>
      </c>
      <c r="I380" s="82">
        <f>Summary!J48</f>
        <v>10</v>
      </c>
      <c r="J380" s="82">
        <f>Summary!K48</f>
        <v>9</v>
      </c>
      <c r="K380" s="82">
        <f>Summary!L48</f>
        <v>9</v>
      </c>
      <c r="L380" s="82">
        <f>Summary!M48</f>
        <v>9</v>
      </c>
    </row>
    <row r="381" spans="2:12" ht="15" customHeight="1" x14ac:dyDescent="0.25">
      <c r="B381" s="333" t="s">
        <v>223</v>
      </c>
      <c r="C381" s="291"/>
      <c r="D381" s="291"/>
      <c r="E381" s="90">
        <f>K26*1000000</f>
        <v>32044.999999999996</v>
      </c>
      <c r="F381" s="90">
        <f>Summary!G49</f>
        <v>42933.59</v>
      </c>
      <c r="G381" s="90">
        <f>Summary!H49</f>
        <v>42933.55999999999</v>
      </c>
      <c r="H381" s="90">
        <f>Summary!I49</f>
        <v>42933.589999999989</v>
      </c>
      <c r="I381" s="90">
        <f>Summary!J49</f>
        <v>42072.619999999988</v>
      </c>
      <c r="J381" s="90">
        <f>Summary!K49</f>
        <v>39489.699999999997</v>
      </c>
      <c r="K381" s="90">
        <f>Summary!L49</f>
        <v>39489.699999999997</v>
      </c>
      <c r="L381" s="90">
        <f>Summary!M49</f>
        <v>39489.699999999997</v>
      </c>
    </row>
    <row r="382" spans="2:12" ht="15" customHeight="1" x14ac:dyDescent="0.25">
      <c r="B382" s="333" t="s">
        <v>224</v>
      </c>
      <c r="C382" s="334"/>
      <c r="D382" s="334"/>
      <c r="E382" s="90">
        <f>+E381</f>
        <v>32044.999999999996</v>
      </c>
      <c r="F382" s="90">
        <f>+'Rate Class Energy Model'!X16</f>
        <v>40906.78284532619</v>
      </c>
      <c r="G382" s="90">
        <f>+'Rate Class Energy Model'!X17</f>
        <v>43337.047963994359</v>
      </c>
      <c r="H382" s="90">
        <f>+'Rate Class Energy Model'!X18</f>
        <v>43980.713227054817</v>
      </c>
      <c r="I382" s="90">
        <f>+'Rate Class Energy Model'!X19</f>
        <v>41910.870499557212</v>
      </c>
      <c r="J382" s="90">
        <f>+'Rate Class Energy Model'!X20</f>
        <v>39394.631882548492</v>
      </c>
      <c r="K382" s="90">
        <f>+K381</f>
        <v>39489.699999999997</v>
      </c>
      <c r="L382" s="90">
        <f>+L381</f>
        <v>39489.699999999997</v>
      </c>
    </row>
    <row r="383" spans="2:12" ht="15" customHeight="1" x14ac:dyDescent="0.25">
      <c r="B383" s="333" t="s">
        <v>225</v>
      </c>
      <c r="C383" s="334"/>
      <c r="D383" s="334"/>
      <c r="E383" s="90">
        <f t="shared" ref="E383:L383" si="77">+E381/E380</f>
        <v>4577.8571428571422</v>
      </c>
      <c r="F383" s="90">
        <f t="shared" si="77"/>
        <v>4293.3589999999995</v>
      </c>
      <c r="G383" s="90">
        <f t="shared" si="77"/>
        <v>4293.3559999999989</v>
      </c>
      <c r="H383" s="90">
        <f t="shared" si="77"/>
        <v>4293.3589999999986</v>
      </c>
      <c r="I383" s="90">
        <f t="shared" si="77"/>
        <v>4207.2619999999988</v>
      </c>
      <c r="J383" s="90">
        <f t="shared" si="77"/>
        <v>4387.7444444444445</v>
      </c>
      <c r="K383" s="90">
        <f t="shared" si="77"/>
        <v>4387.7444444444445</v>
      </c>
      <c r="L383" s="90">
        <f t="shared" si="77"/>
        <v>4387.7444444444445</v>
      </c>
    </row>
    <row r="384" spans="2:12" ht="15" customHeight="1" x14ac:dyDescent="0.25">
      <c r="B384" s="333" t="s">
        <v>226</v>
      </c>
      <c r="C384" s="334"/>
      <c r="D384" s="334"/>
      <c r="E384" s="90">
        <f t="shared" ref="E384:L384" si="78">+E382/E380</f>
        <v>4577.8571428571422</v>
      </c>
      <c r="F384" s="90">
        <f t="shared" si="78"/>
        <v>4090.6782845326188</v>
      </c>
      <c r="G384" s="90">
        <f t="shared" si="78"/>
        <v>4333.7047963994355</v>
      </c>
      <c r="H384" s="90">
        <f t="shared" si="78"/>
        <v>4398.0713227054821</v>
      </c>
      <c r="I384" s="90">
        <f t="shared" si="78"/>
        <v>4191.0870499557213</v>
      </c>
      <c r="J384" s="90">
        <f t="shared" si="78"/>
        <v>4377.1813202831654</v>
      </c>
      <c r="K384" s="90">
        <f t="shared" si="78"/>
        <v>4387.7444444444445</v>
      </c>
      <c r="L384" s="90">
        <f t="shared" si="78"/>
        <v>4387.7444444444445</v>
      </c>
    </row>
    <row r="385" spans="2:12" ht="15" customHeight="1" x14ac:dyDescent="0.25">
      <c r="B385" s="432" t="s">
        <v>149</v>
      </c>
      <c r="C385" s="433"/>
      <c r="D385" s="433"/>
      <c r="E385" s="433"/>
      <c r="F385" s="433"/>
      <c r="G385" s="433"/>
      <c r="H385" s="433"/>
      <c r="I385" s="433"/>
      <c r="J385" s="433"/>
      <c r="K385" s="433"/>
      <c r="L385" s="434"/>
    </row>
    <row r="386" spans="2:12" ht="15" customHeight="1" x14ac:dyDescent="0.2">
      <c r="B386" s="290" t="str">
        <f>B380</f>
        <v xml:space="preserve">  Customers</v>
      </c>
      <c r="C386" s="291"/>
      <c r="D386" s="291"/>
      <c r="E386" s="90"/>
      <c r="F386" s="222">
        <f t="shared" ref="F386:L386" si="79">IF(ISERROR((F380-$E380)/$E380),0,(F380-$E380)/$E380)</f>
        <v>0.42857142857142855</v>
      </c>
      <c r="G386" s="222">
        <f t="shared" si="79"/>
        <v>0.42857142857142855</v>
      </c>
      <c r="H386" s="222">
        <f t="shared" si="79"/>
        <v>0.42857142857142855</v>
      </c>
      <c r="I386" s="222">
        <f t="shared" si="79"/>
        <v>0.42857142857142855</v>
      </c>
      <c r="J386" s="222">
        <f t="shared" si="79"/>
        <v>0.2857142857142857</v>
      </c>
      <c r="K386" s="222">
        <f t="shared" si="79"/>
        <v>0.2857142857142857</v>
      </c>
      <c r="L386" s="222">
        <f t="shared" si="79"/>
        <v>0.2857142857142857</v>
      </c>
    </row>
    <row r="387" spans="2:12" ht="15" customHeight="1" x14ac:dyDescent="0.2">
      <c r="B387" s="290" t="str">
        <f>B381</f>
        <v xml:space="preserve">  kWh - Actuals</v>
      </c>
      <c r="C387" s="291"/>
      <c r="D387" s="291"/>
      <c r="E387" s="90"/>
      <c r="F387" s="222">
        <f>IF(ISERROR((F381-$E381)/$E381),0,(F381-$E381)/$E381)</f>
        <v>0.33979060695896401</v>
      </c>
      <c r="G387" s="222">
        <f t="shared" ref="G387:L387" si="80">IF(ISERROR((G381-$E381)/$E381),0,(G381-$E381)/$E381)</f>
        <v>0.33978967077547184</v>
      </c>
      <c r="H387" s="222">
        <f t="shared" si="80"/>
        <v>0.33979060695896379</v>
      </c>
      <c r="I387" s="222">
        <f t="shared" si="80"/>
        <v>0.31292307692307669</v>
      </c>
      <c r="J387" s="222">
        <f t="shared" si="80"/>
        <v>0.23232017475425187</v>
      </c>
      <c r="K387" s="222">
        <f t="shared" si="80"/>
        <v>0.23232017475425187</v>
      </c>
      <c r="L387" s="222">
        <f t="shared" si="80"/>
        <v>0.23232017475425187</v>
      </c>
    </row>
    <row r="388" spans="2:12" ht="15" customHeight="1" x14ac:dyDescent="0.2">
      <c r="B388" s="333" t="str">
        <f>B382</f>
        <v xml:space="preserve">  kWh - weather normalized</v>
      </c>
      <c r="C388" s="112"/>
      <c r="D388" s="112"/>
      <c r="E388" s="90"/>
      <c r="F388" s="222">
        <f>IF(ISERROR((F382-$E382)/$E382),0,(F382-$E382)/$E382)</f>
        <v>0.27654182697226382</v>
      </c>
      <c r="G388" s="222">
        <f t="shared" ref="G388:L388" si="81">IF(ISERROR((G382-$E382)/$E382),0,(G382-$E382)/$E382)</f>
        <v>0.35238096314540063</v>
      </c>
      <c r="H388" s="222">
        <f t="shared" si="81"/>
        <v>0.37246725626633864</v>
      </c>
      <c r="I388" s="222">
        <f t="shared" si="81"/>
        <v>0.30787550318480938</v>
      </c>
      <c r="J388" s="222">
        <f t="shared" si="81"/>
        <v>0.22935346801524409</v>
      </c>
      <c r="K388" s="222">
        <f t="shared" si="81"/>
        <v>0.23232017475425187</v>
      </c>
      <c r="L388" s="222">
        <f t="shared" si="81"/>
        <v>0.23232017475425187</v>
      </c>
    </row>
    <row r="389" spans="2:12" ht="15" customHeight="1" x14ac:dyDescent="0.2">
      <c r="B389" s="339"/>
      <c r="C389" s="112"/>
      <c r="D389" s="112"/>
      <c r="E389" s="340"/>
      <c r="F389" s="341"/>
      <c r="G389" s="341"/>
      <c r="H389" s="341"/>
      <c r="I389" s="341"/>
      <c r="J389" s="341"/>
      <c r="K389" s="341"/>
      <c r="L389" s="342"/>
    </row>
    <row r="390" spans="2:12" ht="9" customHeight="1" x14ac:dyDescent="0.25">
      <c r="B390" s="435"/>
      <c r="C390" s="436"/>
      <c r="D390" s="436"/>
      <c r="E390" s="436"/>
      <c r="F390" s="436"/>
      <c r="G390" s="436"/>
      <c r="H390" s="436"/>
      <c r="I390" s="436"/>
      <c r="J390" s="436"/>
      <c r="K390" s="436"/>
      <c r="L390" s="437"/>
    </row>
    <row r="391" spans="2:12" ht="15" customHeight="1" x14ac:dyDescent="0.25">
      <c r="B391" s="444" t="s">
        <v>10</v>
      </c>
      <c r="C391" s="445"/>
      <c r="D391" s="445"/>
      <c r="E391" s="445"/>
      <c r="F391" s="445"/>
      <c r="G391" s="445"/>
      <c r="H391" s="445"/>
      <c r="I391" s="445"/>
      <c r="J391" s="445"/>
      <c r="K391" s="445"/>
      <c r="L391" s="446"/>
    </row>
    <row r="392" spans="2:12" ht="15" customHeight="1" x14ac:dyDescent="0.25">
      <c r="B392" s="290" t="s">
        <v>49</v>
      </c>
      <c r="C392" s="291"/>
      <c r="D392" s="291"/>
      <c r="E392" s="90">
        <f t="shared" ref="E392:L394" si="82">E297+E308+E319+E335+E350+E365+E380</f>
        <v>29878</v>
      </c>
      <c r="F392" s="90">
        <f t="shared" si="82"/>
        <v>29857</v>
      </c>
      <c r="G392" s="90">
        <f t="shared" si="82"/>
        <v>29964</v>
      </c>
      <c r="H392" s="90">
        <f t="shared" si="82"/>
        <v>29977</v>
      </c>
      <c r="I392" s="90">
        <f t="shared" si="82"/>
        <v>30001</v>
      </c>
      <c r="J392" s="90">
        <f t="shared" si="82"/>
        <v>30047</v>
      </c>
      <c r="K392" s="90">
        <f t="shared" si="82"/>
        <v>30075</v>
      </c>
      <c r="L392" s="90">
        <f t="shared" si="82"/>
        <v>30104</v>
      </c>
    </row>
    <row r="393" spans="2:12" ht="15" customHeight="1" x14ac:dyDescent="0.25">
      <c r="B393" s="290" t="s">
        <v>45</v>
      </c>
      <c r="C393" s="291"/>
      <c r="D393" s="291"/>
      <c r="E393" s="64">
        <f t="shared" si="82"/>
        <v>520454527.29000002</v>
      </c>
      <c r="F393" s="64">
        <f t="shared" si="82"/>
        <v>516728999.29000038</v>
      </c>
      <c r="G393" s="64">
        <f t="shared" si="82"/>
        <v>488765497.17000061</v>
      </c>
      <c r="H393" s="64">
        <f t="shared" si="82"/>
        <v>482398546.16000038</v>
      </c>
      <c r="I393" s="64">
        <f t="shared" si="82"/>
        <v>496980971.10999972</v>
      </c>
      <c r="J393" s="64">
        <f t="shared" si="82"/>
        <v>495761810.37999994</v>
      </c>
      <c r="K393" s="64">
        <f t="shared" si="82"/>
        <v>491915659.33527148</v>
      </c>
      <c r="L393" s="64">
        <f t="shared" si="82"/>
        <v>491086839.87026399</v>
      </c>
    </row>
    <row r="394" spans="2:12" ht="15" customHeight="1" x14ac:dyDescent="0.25">
      <c r="B394" s="333" t="s">
        <v>231</v>
      </c>
      <c r="C394" s="334"/>
      <c r="D394" s="334"/>
      <c r="E394" s="64">
        <f t="shared" si="82"/>
        <v>520454527.29000002</v>
      </c>
      <c r="F394" s="64">
        <f t="shared" si="82"/>
        <v>492335277.89869797</v>
      </c>
      <c r="G394" s="64">
        <f t="shared" si="82"/>
        <v>493358896.72325957</v>
      </c>
      <c r="H394" s="64">
        <f t="shared" si="82"/>
        <v>494163942.95960677</v>
      </c>
      <c r="I394" s="64">
        <f t="shared" si="82"/>
        <v>495070312.25855172</v>
      </c>
      <c r="J394" s="64">
        <f t="shared" si="82"/>
        <v>494568305.69353294</v>
      </c>
      <c r="K394" s="64">
        <f t="shared" si="82"/>
        <v>491915659.33527148</v>
      </c>
      <c r="L394" s="64">
        <f t="shared" si="82"/>
        <v>491086839.87026399</v>
      </c>
    </row>
    <row r="395" spans="2:12" ht="15" customHeight="1" x14ac:dyDescent="0.25">
      <c r="B395" s="290" t="s">
        <v>48</v>
      </c>
      <c r="C395" s="291"/>
      <c r="D395" s="291"/>
      <c r="E395" s="90">
        <f t="shared" ref="E395:L395" si="83">E368+E353+E338+E322</f>
        <v>560500.57494787755</v>
      </c>
      <c r="F395" s="90">
        <f t="shared" si="83"/>
        <v>584087.73000000021</v>
      </c>
      <c r="G395" s="90">
        <f t="shared" si="83"/>
        <v>571174.13000000012</v>
      </c>
      <c r="H395" s="90">
        <f t="shared" si="83"/>
        <v>565277.37999999989</v>
      </c>
      <c r="I395" s="90">
        <f t="shared" si="83"/>
        <v>558524.51</v>
      </c>
      <c r="J395" s="90">
        <f t="shared" si="83"/>
        <v>558570.17999999993</v>
      </c>
      <c r="K395" s="90">
        <f t="shared" si="83"/>
        <v>552848.64933744259</v>
      </c>
      <c r="L395" s="90">
        <f t="shared" si="83"/>
        <v>547277.33955122856</v>
      </c>
    </row>
    <row r="396" spans="2:12" ht="15" customHeight="1" x14ac:dyDescent="0.25">
      <c r="B396" s="333" t="s">
        <v>232</v>
      </c>
      <c r="C396" s="334"/>
      <c r="D396" s="334"/>
      <c r="E396" s="90">
        <f>E369+E354+E339+E323</f>
        <v>560500.57494787755</v>
      </c>
      <c r="F396" s="90">
        <f t="shared" ref="F396:L396" si="84">F369+F354+F339+F323</f>
        <v>563104.6351523347</v>
      </c>
      <c r="G396" s="90">
        <f t="shared" si="84"/>
        <v>554738.00278153154</v>
      </c>
      <c r="H396" s="90">
        <f t="shared" si="84"/>
        <v>560923.61118771194</v>
      </c>
      <c r="I396" s="90">
        <f t="shared" si="84"/>
        <v>543899.07480238855</v>
      </c>
      <c r="J396" s="90">
        <f t="shared" si="84"/>
        <v>542943.17673033068</v>
      </c>
      <c r="K396" s="90">
        <f t="shared" si="84"/>
        <v>552848.64933744259</v>
      </c>
      <c r="L396" s="90">
        <f t="shared" si="84"/>
        <v>547277.33955122856</v>
      </c>
    </row>
    <row r="397" spans="2:12" ht="15" customHeight="1" x14ac:dyDescent="0.25">
      <c r="B397" s="432" t="s">
        <v>149</v>
      </c>
      <c r="C397" s="433"/>
      <c r="D397" s="433"/>
      <c r="E397" s="433"/>
      <c r="F397" s="433"/>
      <c r="G397" s="433"/>
      <c r="H397" s="433"/>
      <c r="I397" s="433"/>
      <c r="J397" s="433"/>
      <c r="K397" s="433"/>
      <c r="L397" s="434"/>
    </row>
    <row r="398" spans="2:12" ht="15" customHeight="1" x14ac:dyDescent="0.2">
      <c r="B398" s="290" t="str">
        <f>B392</f>
        <v xml:space="preserve">  Customer/Connections</v>
      </c>
      <c r="C398" s="291"/>
      <c r="D398" s="291"/>
      <c r="E398" s="90"/>
      <c r="F398" s="222">
        <f t="shared" ref="F398:L398" si="85">IF(ISERROR((F392-$E392)/$E392),0,(F392-$E392)/$E392)</f>
        <v>-7.0285829038088221E-4</v>
      </c>
      <c r="G398" s="222">
        <f t="shared" si="85"/>
        <v>2.8783720463217083E-3</v>
      </c>
      <c r="H398" s="222">
        <f t="shared" si="85"/>
        <v>3.3134747975098735E-3</v>
      </c>
      <c r="I398" s="222">
        <f t="shared" si="85"/>
        <v>4.1167414150880249E-3</v>
      </c>
      <c r="J398" s="222">
        <f t="shared" si="85"/>
        <v>5.6563357654461476E-3</v>
      </c>
      <c r="K398" s="222">
        <f t="shared" si="85"/>
        <v>6.5934801526206571E-3</v>
      </c>
      <c r="L398" s="222">
        <f t="shared" si="85"/>
        <v>7.5640939821942565E-3</v>
      </c>
    </row>
    <row r="399" spans="2:12" ht="15" customHeight="1" x14ac:dyDescent="0.2">
      <c r="B399" s="290" t="str">
        <f>B393</f>
        <v xml:space="preserve">  kWh</v>
      </c>
      <c r="C399" s="291"/>
      <c r="D399" s="291"/>
      <c r="E399" s="90"/>
      <c r="F399" s="222">
        <f>IF(ISERROR((F393-$E393)/$E393),0,(F393-$E393)/$E393)</f>
        <v>-7.1582199878218343E-3</v>
      </c>
      <c r="G399" s="222">
        <f t="shared" ref="G399:L399" si="86">IF(ISERROR((G393-$E393)/$E393),0,(G393-$E393)/$E393)</f>
        <v>-6.0887221569584142E-2</v>
      </c>
      <c r="H399" s="222">
        <f t="shared" si="86"/>
        <v>-7.3120664985194067E-2</v>
      </c>
      <c r="I399" s="222">
        <f t="shared" si="86"/>
        <v>-4.5102030915605267E-2</v>
      </c>
      <c r="J399" s="222">
        <f t="shared" si="86"/>
        <v>-4.7444523229675302E-2</v>
      </c>
      <c r="K399" s="222">
        <f t="shared" si="86"/>
        <v>-5.4834508027685067E-2</v>
      </c>
      <c r="L399" s="222">
        <f t="shared" si="86"/>
        <v>-5.6426999631751108E-2</v>
      </c>
    </row>
    <row r="400" spans="2:12" ht="15" customHeight="1" x14ac:dyDescent="0.2">
      <c r="B400" s="333" t="str">
        <f>B394</f>
        <v xml:space="preserve">  kWh- Weather Normailized</v>
      </c>
      <c r="C400" s="334"/>
      <c r="D400" s="334"/>
      <c r="E400" s="90"/>
      <c r="F400" s="222">
        <f>IF(ISERROR((F394-$E394)/$E394),0,(F394-$E394)/$E394)</f>
        <v>-5.4028253991215365E-2</v>
      </c>
      <c r="G400" s="222">
        <f t="shared" ref="G400:L400" si="87">IF(ISERROR((G394-$E394)/$E394),0,(G394-$E394)/$E394)</f>
        <v>-5.2061475395030282E-2</v>
      </c>
      <c r="H400" s="222">
        <f t="shared" si="87"/>
        <v>-5.0514661611818397E-2</v>
      </c>
      <c r="I400" s="222">
        <f t="shared" si="87"/>
        <v>-4.8773165954811813E-2</v>
      </c>
      <c r="J400" s="222">
        <f t="shared" si="87"/>
        <v>-4.9737720087202043E-2</v>
      </c>
      <c r="K400" s="222">
        <f t="shared" si="87"/>
        <v>-5.4834508027685067E-2</v>
      </c>
      <c r="L400" s="222">
        <f t="shared" si="87"/>
        <v>-5.6426999631751108E-2</v>
      </c>
    </row>
    <row r="401" spans="2:19" ht="15" customHeight="1" x14ac:dyDescent="0.2">
      <c r="B401" s="290" t="str">
        <f>B395</f>
        <v xml:space="preserve">  kW from applicable classes</v>
      </c>
      <c r="C401" s="291"/>
      <c r="D401" s="291"/>
      <c r="E401" s="90"/>
      <c r="F401" s="222">
        <f t="shared" ref="F401:L402" si="88">IF(ISERROR((F395-$E395)/$E395),0,(F395-$E395)/$E395)</f>
        <v>4.2082303045480537E-2</v>
      </c>
      <c r="G401" s="222">
        <f t="shared" si="88"/>
        <v>1.9042897597589672E-2</v>
      </c>
      <c r="H401" s="222">
        <f t="shared" si="88"/>
        <v>8.5223909940976283E-3</v>
      </c>
      <c r="I401" s="222">
        <f t="shared" si="88"/>
        <v>-3.5255359872936876E-3</v>
      </c>
      <c r="J401" s="222">
        <f t="shared" si="88"/>
        <v>-3.4440552501790599E-3</v>
      </c>
      <c r="K401" s="222">
        <f t="shared" si="88"/>
        <v>-1.3651949618689572E-2</v>
      </c>
      <c r="L401" s="222">
        <f t="shared" si="88"/>
        <v>-2.3591831993889843E-2</v>
      </c>
    </row>
    <row r="402" spans="2:19" ht="15" customHeight="1" x14ac:dyDescent="0.2">
      <c r="B402" s="333" t="str">
        <f>B396</f>
        <v xml:space="preserve">  kW from applicable classes - wn</v>
      </c>
      <c r="C402" s="334"/>
      <c r="D402" s="334"/>
      <c r="E402" s="90"/>
      <c r="F402" s="222">
        <f t="shared" si="88"/>
        <v>4.6459545642737318E-3</v>
      </c>
      <c r="G402" s="222">
        <f t="shared" si="88"/>
        <v>-1.0281117315324592E-2</v>
      </c>
      <c r="H402" s="222">
        <f t="shared" si="88"/>
        <v>7.5474720052468318E-4</v>
      </c>
      <c r="I402" s="222">
        <f t="shared" si="88"/>
        <v>-2.9619059975153135E-2</v>
      </c>
      <c r="J402" s="222">
        <f t="shared" si="88"/>
        <v>-3.1324496356100219E-2</v>
      </c>
      <c r="K402" s="222">
        <f t="shared" si="88"/>
        <v>-1.3651949618689572E-2</v>
      </c>
      <c r="L402" s="222">
        <f t="shared" si="88"/>
        <v>-2.3591831993889843E-2</v>
      </c>
    </row>
    <row r="403" spans="2:19" ht="15" customHeight="1" x14ac:dyDescent="0.25">
      <c r="F403" s="65"/>
      <c r="G403" s="65"/>
      <c r="H403" s="65"/>
      <c r="I403" s="65"/>
      <c r="J403" s="65"/>
      <c r="K403" s="65"/>
    </row>
    <row r="404" spans="2:19" ht="15" customHeight="1" x14ac:dyDescent="0.25">
      <c r="B404" s="450" t="s">
        <v>277</v>
      </c>
      <c r="C404" s="450"/>
      <c r="D404" s="450"/>
      <c r="E404" s="450"/>
      <c r="F404" s="450"/>
      <c r="G404" s="450"/>
      <c r="H404" s="450"/>
      <c r="I404" s="450"/>
      <c r="J404" s="450"/>
      <c r="K404" s="450"/>
      <c r="L404" s="450"/>
      <c r="N404" s="60" t="s">
        <v>213</v>
      </c>
    </row>
    <row r="405" spans="2:19" ht="15" customHeight="1" x14ac:dyDescent="0.2">
      <c r="B405" s="451"/>
      <c r="C405" s="452"/>
      <c r="D405" s="453"/>
      <c r="E405" s="451" t="s">
        <v>150</v>
      </c>
      <c r="F405" s="452"/>
      <c r="G405" s="453"/>
      <c r="H405" s="454" t="s">
        <v>129</v>
      </c>
      <c r="I405" s="454"/>
      <c r="J405" s="454" t="s">
        <v>151</v>
      </c>
      <c r="K405" s="454"/>
      <c r="L405" s="251"/>
    </row>
    <row r="406" spans="2:19" ht="20.5" x14ac:dyDescent="0.25">
      <c r="B406" s="447" t="s">
        <v>153</v>
      </c>
      <c r="C406" s="448"/>
      <c r="D406" s="449"/>
      <c r="E406" s="223" t="s">
        <v>201</v>
      </c>
      <c r="F406" s="224" t="s">
        <v>189</v>
      </c>
      <c r="G406" s="224" t="s">
        <v>39</v>
      </c>
      <c r="H406" s="223" t="str">
        <f>E406</f>
        <v xml:space="preserve">2015 Board Approved </v>
      </c>
      <c r="I406" s="224" t="str">
        <f>F406</f>
        <v xml:space="preserve">2015 Actual </v>
      </c>
      <c r="J406" s="223" t="str">
        <f>E406</f>
        <v xml:space="preserve">2015 Board Approved </v>
      </c>
      <c r="K406" s="224" t="str">
        <f>F406</f>
        <v xml:space="preserve">2015 Actual </v>
      </c>
      <c r="L406" s="223" t="s">
        <v>152</v>
      </c>
      <c r="N406" s="60" t="s">
        <v>99</v>
      </c>
    </row>
    <row r="407" spans="2:19" ht="15" customHeight="1" x14ac:dyDescent="0.25">
      <c r="B407" s="230" t="str">
        <f>Summary!A19</f>
        <v xml:space="preserve">Residential </v>
      </c>
      <c r="C407" s="231"/>
      <c r="D407" s="232"/>
      <c r="E407" s="328">
        <f>E297</f>
        <v>21124</v>
      </c>
      <c r="F407" s="328">
        <f>$F$297</f>
        <v>21122</v>
      </c>
      <c r="G407" s="329">
        <f>F407-E407</f>
        <v>-2</v>
      </c>
      <c r="H407" s="330">
        <f>E298</f>
        <v>205497425</v>
      </c>
      <c r="I407" s="330">
        <f>$F$298</f>
        <v>196730100.79999995</v>
      </c>
      <c r="J407" s="328"/>
      <c r="K407" s="228"/>
      <c r="L407" s="229">
        <f>I407-H407</f>
        <v>-8767324.2000000477</v>
      </c>
      <c r="N407" s="54">
        <f>+SUM('Purchased Power Model'!C77:C88)</f>
        <v>5158.0499999999993</v>
      </c>
      <c r="O407" s="304">
        <v>4971</v>
      </c>
      <c r="P407" s="60">
        <f>+L407/H407</f>
        <v>-4.2663912698663001E-2</v>
      </c>
      <c r="Q407" s="331"/>
    </row>
    <row r="408" spans="2:19" ht="15" customHeight="1" x14ac:dyDescent="0.2">
      <c r="B408" s="230" t="str">
        <f>Summary!A23</f>
        <v>General Service &lt; 50 kW</v>
      </c>
      <c r="C408" s="231"/>
      <c r="D408" s="232"/>
      <c r="E408" s="328">
        <f>E308</f>
        <v>2668</v>
      </c>
      <c r="F408" s="328">
        <f>$F$308</f>
        <v>2646</v>
      </c>
      <c r="G408" s="329">
        <f t="shared" ref="G408:G413" si="89">F408-E408</f>
        <v>-22</v>
      </c>
      <c r="H408" s="330">
        <f>E309</f>
        <v>85361037</v>
      </c>
      <c r="I408" s="330">
        <f>$F$309</f>
        <v>83568205.870000467</v>
      </c>
      <c r="J408" s="328"/>
      <c r="K408" s="228"/>
      <c r="L408" s="229">
        <f>I408-H408</f>
        <v>-1792831.1299995333</v>
      </c>
      <c r="M408" s="60">
        <f>+L408/H408</f>
        <v>-2.1002921157102779E-2</v>
      </c>
      <c r="O408" s="304"/>
      <c r="Q408" s="331"/>
    </row>
    <row r="409" spans="2:19" ht="15" customHeight="1" x14ac:dyDescent="0.2">
      <c r="B409" s="230" t="str">
        <f>Summary!A27</f>
        <v>General Service 50 to 2999 kW</v>
      </c>
      <c r="C409" s="231"/>
      <c r="D409" s="232"/>
      <c r="E409" s="328">
        <f>E319</f>
        <v>247</v>
      </c>
      <c r="F409" s="328">
        <f>$F$319</f>
        <v>254</v>
      </c>
      <c r="G409" s="329">
        <f t="shared" si="89"/>
        <v>7</v>
      </c>
      <c r="H409" s="330"/>
      <c r="I409" s="330"/>
      <c r="J409" s="328">
        <f>E322</f>
        <v>519864.63481550448</v>
      </c>
      <c r="K409" s="225">
        <f>$F$322</f>
        <v>537897.68000000017</v>
      </c>
      <c r="L409" s="229">
        <f>K409-J409</f>
        <v>18033.045184495684</v>
      </c>
      <c r="M409" s="60">
        <f>+L409/J409</f>
        <v>3.468796293653531E-2</v>
      </c>
      <c r="N409" s="60">
        <f>+G409/E409</f>
        <v>2.8340080971659919E-2</v>
      </c>
      <c r="O409" s="304"/>
      <c r="Q409" s="331"/>
    </row>
    <row r="410" spans="2:19" ht="15" customHeight="1" x14ac:dyDescent="0.2">
      <c r="B410" s="230" t="str">
        <f>Summary!A32</f>
        <v>General Service 3000 to 4999 kW</v>
      </c>
      <c r="C410" s="231"/>
      <c r="D410" s="232"/>
      <c r="E410" s="328">
        <f>E335</f>
        <v>1</v>
      </c>
      <c r="F410" s="328">
        <f>$F$335</f>
        <v>1</v>
      </c>
      <c r="G410" s="329">
        <f t="shared" si="89"/>
        <v>0</v>
      </c>
      <c r="H410" s="330"/>
      <c r="I410" s="330"/>
      <c r="J410" s="328">
        <f>E338</f>
        <v>33801.425697666316</v>
      </c>
      <c r="K410" s="225">
        <f>$F$338</f>
        <v>39466.039999999994</v>
      </c>
      <c r="L410" s="229">
        <f>K410-J410</f>
        <v>5664.6143023336772</v>
      </c>
      <c r="M410" s="332">
        <f>-L410/J410</f>
        <v>-0.16758507031627271</v>
      </c>
      <c r="O410" s="304"/>
      <c r="Q410" s="331" t="s">
        <v>214</v>
      </c>
      <c r="R410" s="60">
        <v>1.1278999999999999</v>
      </c>
    </row>
    <row r="411" spans="2:19" ht="15" customHeight="1" x14ac:dyDescent="0.2">
      <c r="B411" s="230" t="str">
        <f>Summary!A37</f>
        <v>Street Lighting</v>
      </c>
      <c r="C411" s="231"/>
      <c r="D411" s="232"/>
      <c r="E411" s="328">
        <f>E350</f>
        <v>5419</v>
      </c>
      <c r="F411" s="328">
        <f>$F$350</f>
        <v>5422</v>
      </c>
      <c r="G411" s="329">
        <f t="shared" si="89"/>
        <v>3</v>
      </c>
      <c r="H411" s="330"/>
      <c r="I411" s="330"/>
      <c r="J411" s="328">
        <f>E353</f>
        <v>5641.08</v>
      </c>
      <c r="K411" s="225">
        <f>$F$353</f>
        <v>5690.27</v>
      </c>
      <c r="L411" s="229">
        <f>K411-J411</f>
        <v>49.190000000000509</v>
      </c>
      <c r="O411" s="304"/>
      <c r="Q411" s="331"/>
      <c r="R411" s="60">
        <v>1.72E-2</v>
      </c>
    </row>
    <row r="412" spans="2:19" ht="15" customHeight="1" x14ac:dyDescent="0.2">
      <c r="B412" s="230" t="str">
        <f>Summary!A42</f>
        <v>Sentinel Lighting</v>
      </c>
      <c r="C412" s="231"/>
      <c r="D412" s="232"/>
      <c r="E412" s="328">
        <f>E365</f>
        <v>412</v>
      </c>
      <c r="F412" s="328">
        <f>$F$365</f>
        <v>402</v>
      </c>
      <c r="G412" s="329">
        <f t="shared" si="89"/>
        <v>-10</v>
      </c>
      <c r="H412" s="330"/>
      <c r="I412" s="330"/>
      <c r="J412" s="328">
        <f>E368</f>
        <v>1193.4344347067597</v>
      </c>
      <c r="K412" s="225">
        <f>$F$368</f>
        <v>1033.7400000000014</v>
      </c>
      <c r="L412" s="229">
        <f>K412-J412</f>
        <v>-159.69443470675833</v>
      </c>
      <c r="O412" s="304"/>
      <c r="Q412" s="331"/>
      <c r="R412" s="60">
        <f>+R411+R410</f>
        <v>1.1451</v>
      </c>
      <c r="S412" s="331">
        <f>+R412*L410</f>
        <v>6486.5498376022933</v>
      </c>
    </row>
    <row r="413" spans="2:19" ht="15" customHeight="1" x14ac:dyDescent="0.2">
      <c r="B413" s="230" t="str">
        <f>Summary!A47</f>
        <v xml:space="preserve">Unmetered Scattered Load </v>
      </c>
      <c r="C413" s="231"/>
      <c r="D413" s="232"/>
      <c r="E413" s="328">
        <f>E380</f>
        <v>7</v>
      </c>
      <c r="F413" s="328">
        <f>$F$380</f>
        <v>10</v>
      </c>
      <c r="G413" s="329">
        <f t="shared" si="89"/>
        <v>3</v>
      </c>
      <c r="H413" s="330">
        <f>E381</f>
        <v>32044.999999999996</v>
      </c>
      <c r="I413" s="330">
        <f>$F$381</f>
        <v>42933.59</v>
      </c>
      <c r="J413" s="328"/>
      <c r="K413" s="228"/>
      <c r="L413" s="229">
        <f>I413-H413</f>
        <v>10888.59</v>
      </c>
      <c r="O413" s="304"/>
      <c r="Q413" s="331"/>
    </row>
    <row r="414" spans="2:19" ht="15" customHeight="1" x14ac:dyDescent="0.2">
      <c r="B414" s="230" t="s">
        <v>16</v>
      </c>
      <c r="C414" s="231"/>
      <c r="D414" s="232"/>
      <c r="E414" s="328">
        <f t="shared" ref="E414:K414" si="90">SUM(E407:E413)</f>
        <v>29878</v>
      </c>
      <c r="F414" s="328">
        <f t="shared" si="90"/>
        <v>29857</v>
      </c>
      <c r="G414" s="329">
        <f t="shared" si="90"/>
        <v>-21</v>
      </c>
      <c r="H414" s="330">
        <f t="shared" si="90"/>
        <v>290890507</v>
      </c>
      <c r="I414" s="330">
        <f t="shared" si="90"/>
        <v>280341240.26000041</v>
      </c>
      <c r="J414" s="330">
        <f t="shared" si="90"/>
        <v>560500.57494787755</v>
      </c>
      <c r="K414" s="227">
        <f t="shared" si="90"/>
        <v>584087.73000000021</v>
      </c>
      <c r="L414" s="229"/>
    </row>
    <row r="416" spans="2:19" ht="15" customHeight="1" x14ac:dyDescent="0.25">
      <c r="B416" s="450" t="s">
        <v>278</v>
      </c>
      <c r="C416" s="450"/>
      <c r="D416" s="450"/>
      <c r="E416" s="450"/>
      <c r="F416" s="450"/>
      <c r="G416" s="450"/>
      <c r="H416" s="450"/>
      <c r="I416" s="450"/>
      <c r="J416" s="450"/>
      <c r="K416" s="450"/>
      <c r="L416" s="450"/>
    </row>
    <row r="417" spans="2:13" ht="15" customHeight="1" x14ac:dyDescent="0.2">
      <c r="B417" s="451"/>
      <c r="C417" s="452"/>
      <c r="D417" s="453"/>
      <c r="E417" s="451" t="s">
        <v>150</v>
      </c>
      <c r="F417" s="452"/>
      <c r="G417" s="453"/>
      <c r="H417" s="454" t="s">
        <v>129</v>
      </c>
      <c r="I417" s="454"/>
      <c r="J417" s="454" t="s">
        <v>151</v>
      </c>
      <c r="K417" s="454"/>
      <c r="L417" s="251"/>
    </row>
    <row r="418" spans="2:13" ht="20.5" x14ac:dyDescent="0.25">
      <c r="B418" s="447" t="s">
        <v>153</v>
      </c>
      <c r="C418" s="448"/>
      <c r="D418" s="449"/>
      <c r="E418" s="224" t="str">
        <f>+F406</f>
        <v xml:space="preserve">2015 Actual </v>
      </c>
      <c r="F418" s="224" t="s">
        <v>190</v>
      </c>
      <c r="G418" s="224" t="s">
        <v>39</v>
      </c>
      <c r="H418" s="223" t="str">
        <f>E418</f>
        <v xml:space="preserve">2015 Actual </v>
      </c>
      <c r="I418" s="224" t="str">
        <f>F418</f>
        <v xml:space="preserve">2016 Actual </v>
      </c>
      <c r="J418" s="223" t="str">
        <f>E418</f>
        <v xml:space="preserve">2015 Actual </v>
      </c>
      <c r="K418" s="224" t="str">
        <f>F418</f>
        <v xml:space="preserve">2016 Actual </v>
      </c>
      <c r="L418" s="223" t="s">
        <v>152</v>
      </c>
    </row>
    <row r="419" spans="2:13" ht="15" customHeight="1" x14ac:dyDescent="0.2">
      <c r="B419" s="230" t="str">
        <f>B407</f>
        <v xml:space="preserve">Residential </v>
      </c>
      <c r="C419" s="231"/>
      <c r="D419" s="232"/>
      <c r="E419" s="225">
        <f>F297</f>
        <v>21122</v>
      </c>
      <c r="F419" s="225">
        <f>$G$297</f>
        <v>21173</v>
      </c>
      <c r="G419" s="226">
        <f>F419-E419</f>
        <v>51</v>
      </c>
      <c r="H419" s="227">
        <f>F298</f>
        <v>196730100.79999995</v>
      </c>
      <c r="I419" s="227">
        <f>$G$298</f>
        <v>188194721.51000041</v>
      </c>
      <c r="J419" s="225"/>
      <c r="K419" s="228"/>
      <c r="L419" s="229">
        <f>I419-H419</f>
        <v>-8535379.2899995446</v>
      </c>
      <c r="M419" s="332">
        <f>-L419/H419</f>
        <v>4.3386239600806155E-2</v>
      </c>
    </row>
    <row r="420" spans="2:13" ht="15" customHeight="1" x14ac:dyDescent="0.2">
      <c r="B420" s="230" t="str">
        <f t="shared" ref="B420:B425" si="91">B408</f>
        <v>General Service &lt; 50 kW</v>
      </c>
      <c r="C420" s="231"/>
      <c r="D420" s="232"/>
      <c r="E420" s="225">
        <f>F308</f>
        <v>2646</v>
      </c>
      <c r="F420" s="225">
        <f>$G$308</f>
        <v>2659</v>
      </c>
      <c r="G420" s="226">
        <f t="shared" ref="G420:G425" si="92">F420-E420</f>
        <v>13</v>
      </c>
      <c r="H420" s="227">
        <f>F309</f>
        <v>83568205.870000467</v>
      </c>
      <c r="I420" s="227">
        <f>$G$309</f>
        <v>80643102.520000204</v>
      </c>
      <c r="J420" s="225"/>
      <c r="K420" s="228"/>
      <c r="L420" s="229">
        <f>I420-H420</f>
        <v>-2925103.3500002623</v>
      </c>
      <c r="M420" s="332">
        <f>-L420/H420</f>
        <v>3.5002586444784781E-2</v>
      </c>
    </row>
    <row r="421" spans="2:13" ht="15" customHeight="1" x14ac:dyDescent="0.2">
      <c r="B421" s="230" t="str">
        <f t="shared" si="91"/>
        <v>General Service 50 to 2999 kW</v>
      </c>
      <c r="C421" s="231"/>
      <c r="D421" s="232"/>
      <c r="E421" s="225">
        <f>F319</f>
        <v>254</v>
      </c>
      <c r="F421" s="225">
        <f>$G$319</f>
        <v>253</v>
      </c>
      <c r="G421" s="226">
        <f t="shared" si="92"/>
        <v>-1</v>
      </c>
      <c r="H421" s="227"/>
      <c r="I421" s="227"/>
      <c r="J421" s="225">
        <f>F322</f>
        <v>537897.68000000017</v>
      </c>
      <c r="K421" s="225">
        <f>$G$322</f>
        <v>529360.3600000001</v>
      </c>
      <c r="L421" s="229">
        <f>K421-J421</f>
        <v>-8537.3200000000652</v>
      </c>
      <c r="M421" s="332">
        <f>-L421/J421</f>
        <v>1.5871643097624184E-2</v>
      </c>
    </row>
    <row r="422" spans="2:13" ht="15" customHeight="1" x14ac:dyDescent="0.2">
      <c r="B422" s="230" t="str">
        <f t="shared" si="91"/>
        <v>General Service 3000 to 4999 kW</v>
      </c>
      <c r="C422" s="231"/>
      <c r="D422" s="232"/>
      <c r="E422" s="225">
        <f>F335</f>
        <v>1</v>
      </c>
      <c r="F422" s="225">
        <f>$G$335</f>
        <v>1</v>
      </c>
      <c r="G422" s="226">
        <f t="shared" si="92"/>
        <v>0</v>
      </c>
      <c r="H422" s="227"/>
      <c r="I422" s="227"/>
      <c r="J422" s="225">
        <f>F338</f>
        <v>39466.039999999994</v>
      </c>
      <c r="K422" s="225">
        <f>$G$338</f>
        <v>35717.369999999995</v>
      </c>
      <c r="L422" s="229">
        <f>K422-J422</f>
        <v>-3748.6699999999983</v>
      </c>
      <c r="M422" s="332">
        <f>-L422/J422</f>
        <v>9.498470077058653E-2</v>
      </c>
    </row>
    <row r="423" spans="2:13" ht="15" customHeight="1" x14ac:dyDescent="0.2">
      <c r="B423" s="230" t="str">
        <f t="shared" si="91"/>
        <v>Street Lighting</v>
      </c>
      <c r="C423" s="231"/>
      <c r="D423" s="232"/>
      <c r="E423" s="225">
        <f>F350</f>
        <v>5422</v>
      </c>
      <c r="F423" s="225">
        <f>$G$350</f>
        <v>5424</v>
      </c>
      <c r="G423" s="226">
        <f t="shared" si="92"/>
        <v>2</v>
      </c>
      <c r="H423" s="227"/>
      <c r="I423" s="227"/>
      <c r="J423" s="225">
        <f>F353</f>
        <v>5690.27</v>
      </c>
      <c r="K423" s="225">
        <f>$G$353</f>
        <v>5690.28</v>
      </c>
      <c r="L423" s="229">
        <f>K423-J423</f>
        <v>9.999999999308784E-3</v>
      </c>
      <c r="M423" s="332"/>
    </row>
    <row r="424" spans="2:13" ht="15" customHeight="1" x14ac:dyDescent="0.2">
      <c r="B424" s="230" t="str">
        <f t="shared" si="91"/>
        <v>Sentinel Lighting</v>
      </c>
      <c r="C424" s="231"/>
      <c r="D424" s="232"/>
      <c r="E424" s="225">
        <f>F365</f>
        <v>402</v>
      </c>
      <c r="F424" s="225">
        <f>$G$365</f>
        <v>444</v>
      </c>
      <c r="G424" s="226">
        <f t="shared" si="92"/>
        <v>42</v>
      </c>
      <c r="H424" s="227"/>
      <c r="I424" s="227"/>
      <c r="J424" s="225">
        <f>F368</f>
        <v>1033.7400000000014</v>
      </c>
      <c r="K424" s="225">
        <f>$G$368</f>
        <v>406.11999999999938</v>
      </c>
      <c r="L424" s="229">
        <f>K424-J424</f>
        <v>-627.62000000000194</v>
      </c>
      <c r="M424" s="332">
        <f>-L424/J424</f>
        <v>0.60713525644746369</v>
      </c>
    </row>
    <row r="425" spans="2:13" ht="15" customHeight="1" x14ac:dyDescent="0.2">
      <c r="B425" s="230" t="str">
        <f t="shared" si="91"/>
        <v xml:space="preserve">Unmetered Scattered Load </v>
      </c>
      <c r="C425" s="231"/>
      <c r="D425" s="232"/>
      <c r="E425" s="225">
        <f>F380</f>
        <v>10</v>
      </c>
      <c r="F425" s="225">
        <f>$G$380</f>
        <v>10</v>
      </c>
      <c r="G425" s="226">
        <f t="shared" si="92"/>
        <v>0</v>
      </c>
      <c r="H425" s="227">
        <f>F381</f>
        <v>42933.59</v>
      </c>
      <c r="I425" s="227">
        <f>$G$381</f>
        <v>42933.55999999999</v>
      </c>
      <c r="J425" s="225"/>
      <c r="K425" s="228"/>
      <c r="L425" s="229">
        <f>I425-H425</f>
        <v>-3.0000000006111804E-2</v>
      </c>
    </row>
    <row r="426" spans="2:13" ht="15" customHeight="1" x14ac:dyDescent="0.2">
      <c r="B426" s="230" t="s">
        <v>16</v>
      </c>
      <c r="C426" s="231"/>
      <c r="D426" s="232"/>
      <c r="E426" s="225">
        <f>SUM(E419:E425)</f>
        <v>29857</v>
      </c>
      <c r="F426" s="225">
        <f>SUM(F419:F425)</f>
        <v>29964</v>
      </c>
      <c r="G426" s="226">
        <f>SUM(G419:G425)</f>
        <v>107</v>
      </c>
      <c r="H426" s="227">
        <f>I414</f>
        <v>280341240.26000041</v>
      </c>
      <c r="I426" s="227">
        <f>SUM(I419:I425)</f>
        <v>268880757.59000063</v>
      </c>
      <c r="J426" s="227">
        <f>SUM(J419:J425)</f>
        <v>584087.73000000021</v>
      </c>
      <c r="K426" s="227">
        <f>SUM(K419:K425)</f>
        <v>571174.13000000012</v>
      </c>
      <c r="L426" s="229"/>
    </row>
    <row r="428" spans="2:13" ht="15" customHeight="1" x14ac:dyDescent="0.25">
      <c r="B428" s="450" t="s">
        <v>279</v>
      </c>
      <c r="C428" s="450"/>
      <c r="D428" s="450"/>
      <c r="E428" s="450"/>
      <c r="F428" s="450"/>
      <c r="G428" s="450"/>
      <c r="H428" s="450"/>
      <c r="I428" s="450"/>
      <c r="J428" s="450"/>
      <c r="K428" s="450"/>
      <c r="L428" s="450"/>
    </row>
    <row r="429" spans="2:13" ht="15" customHeight="1" x14ac:dyDescent="0.2">
      <c r="B429" s="451"/>
      <c r="C429" s="452"/>
      <c r="D429" s="453"/>
      <c r="E429" s="451" t="s">
        <v>150</v>
      </c>
      <c r="F429" s="452"/>
      <c r="G429" s="453"/>
      <c r="H429" s="454" t="s">
        <v>129</v>
      </c>
      <c r="I429" s="454"/>
      <c r="J429" s="454" t="s">
        <v>151</v>
      </c>
      <c r="K429" s="454"/>
      <c r="L429" s="251"/>
    </row>
    <row r="430" spans="2:13" ht="20.5" x14ac:dyDescent="0.25">
      <c r="B430" s="447" t="s">
        <v>153</v>
      </c>
      <c r="C430" s="448"/>
      <c r="D430" s="449"/>
      <c r="E430" s="224" t="str">
        <f>+F418</f>
        <v xml:space="preserve">2016 Actual </v>
      </c>
      <c r="F430" s="224" t="s">
        <v>171</v>
      </c>
      <c r="G430" s="224" t="s">
        <v>39</v>
      </c>
      <c r="H430" s="223" t="str">
        <f>E430</f>
        <v xml:space="preserve">2016 Actual </v>
      </c>
      <c r="I430" s="224" t="str">
        <f>F430</f>
        <v>2017 Actual</v>
      </c>
      <c r="J430" s="223" t="str">
        <f>E430</f>
        <v xml:space="preserve">2016 Actual </v>
      </c>
      <c r="K430" s="224" t="str">
        <f>F430</f>
        <v>2017 Actual</v>
      </c>
      <c r="L430" s="223" t="s">
        <v>152</v>
      </c>
    </row>
    <row r="431" spans="2:13" ht="15" customHeight="1" x14ac:dyDescent="0.2">
      <c r="B431" s="230" t="str">
        <f>B419</f>
        <v xml:space="preserve">Residential </v>
      </c>
      <c r="C431" s="231"/>
      <c r="D431" s="232"/>
      <c r="E431" s="225">
        <f>G297</f>
        <v>21173</v>
      </c>
      <c r="F431" s="225">
        <f>$H$297</f>
        <v>21192</v>
      </c>
      <c r="G431" s="226">
        <f>F431-E431</f>
        <v>19</v>
      </c>
      <c r="H431" s="227">
        <f>G298</f>
        <v>188194721.51000041</v>
      </c>
      <c r="I431" s="227">
        <f>$H$298</f>
        <v>184546623.13000023</v>
      </c>
      <c r="J431" s="225"/>
      <c r="K431" s="228"/>
      <c r="L431" s="229">
        <f>I431-H431</f>
        <v>-3648098.380000174</v>
      </c>
      <c r="M431" s="332">
        <f>-L431/H431</f>
        <v>1.9384700860519719E-2</v>
      </c>
    </row>
    <row r="432" spans="2:13" ht="15" customHeight="1" x14ac:dyDescent="0.2">
      <c r="B432" s="230" t="str">
        <f t="shared" ref="B432:B437" si="93">B420</f>
        <v>General Service &lt; 50 kW</v>
      </c>
      <c r="C432" s="231"/>
      <c r="D432" s="232"/>
      <c r="E432" s="225">
        <f>G308</f>
        <v>2659</v>
      </c>
      <c r="F432" s="225">
        <f>$H$308</f>
        <v>2653</v>
      </c>
      <c r="G432" s="226">
        <f t="shared" ref="G432:G437" si="94">F432-E432</f>
        <v>-6</v>
      </c>
      <c r="H432" s="227">
        <f>G309</f>
        <v>80643102.520000204</v>
      </c>
      <c r="I432" s="227">
        <f>$H$309</f>
        <v>78774627.370000109</v>
      </c>
      <c r="J432" s="225"/>
      <c r="K432" s="228"/>
      <c r="L432" s="229">
        <f>I432-H432</f>
        <v>-1868475.1500000954</v>
      </c>
      <c r="M432" s="332">
        <f>-L432/H432</f>
        <v>2.3169683353101364E-2</v>
      </c>
    </row>
    <row r="433" spans="2:13" ht="15" customHeight="1" x14ac:dyDescent="0.2">
      <c r="B433" s="230" t="str">
        <f t="shared" si="93"/>
        <v>General Service 50 to 2999 kW</v>
      </c>
      <c r="C433" s="231"/>
      <c r="D433" s="232"/>
      <c r="E433" s="225">
        <f>G319</f>
        <v>253</v>
      </c>
      <c r="F433" s="225">
        <f>$H$319</f>
        <v>261</v>
      </c>
      <c r="G433" s="226">
        <f t="shared" si="94"/>
        <v>8</v>
      </c>
      <c r="H433" s="227"/>
      <c r="I433" s="227"/>
      <c r="J433" s="225">
        <f>G322</f>
        <v>529360.3600000001</v>
      </c>
      <c r="K433" s="225">
        <f>$H$322</f>
        <v>528741.1399999999</v>
      </c>
      <c r="L433" s="229">
        <f>K433-J433</f>
        <v>-619.22000000020489</v>
      </c>
      <c r="M433" s="332">
        <f>-L433/J433</f>
        <v>1.1697513580355824E-3</v>
      </c>
    </row>
    <row r="434" spans="2:13" ht="15" customHeight="1" x14ac:dyDescent="0.2">
      <c r="B434" s="230" t="str">
        <f t="shared" si="93"/>
        <v>General Service 3000 to 4999 kW</v>
      </c>
      <c r="C434" s="231"/>
      <c r="D434" s="232"/>
      <c r="E434" s="225">
        <f>G335</f>
        <v>1</v>
      </c>
      <c r="F434" s="225">
        <f>$H$335</f>
        <v>1</v>
      </c>
      <c r="G434" s="226">
        <f t="shared" si="94"/>
        <v>0</v>
      </c>
      <c r="H434" s="227"/>
      <c r="I434" s="227"/>
      <c r="J434" s="225">
        <f>G338</f>
        <v>35717.369999999995</v>
      </c>
      <c r="K434" s="225">
        <f>$H$338</f>
        <v>30516.22</v>
      </c>
      <c r="L434" s="229">
        <f>K434-J434</f>
        <v>-5201.1499999999942</v>
      </c>
      <c r="M434" s="332">
        <f>-L434/J434</f>
        <v>0.14561962428924624</v>
      </c>
    </row>
    <row r="435" spans="2:13" ht="15" customHeight="1" x14ac:dyDescent="0.2">
      <c r="B435" s="230" t="str">
        <f t="shared" si="93"/>
        <v>Street Lighting</v>
      </c>
      <c r="C435" s="231"/>
      <c r="D435" s="232"/>
      <c r="E435" s="225">
        <f>G350</f>
        <v>5424</v>
      </c>
      <c r="F435" s="225">
        <f>$H$350</f>
        <v>5424</v>
      </c>
      <c r="G435" s="226">
        <f t="shared" si="94"/>
        <v>0</v>
      </c>
      <c r="H435" s="227"/>
      <c r="I435" s="227"/>
      <c r="J435" s="225">
        <f>G353</f>
        <v>5690.28</v>
      </c>
      <c r="K435" s="225">
        <f>$H$353</f>
        <v>5690.28</v>
      </c>
      <c r="L435" s="229">
        <f>K435-J435</f>
        <v>0</v>
      </c>
      <c r="M435" s="332"/>
    </row>
    <row r="436" spans="2:13" ht="15" customHeight="1" x14ac:dyDescent="0.2">
      <c r="B436" s="230" t="str">
        <f t="shared" si="93"/>
        <v>Sentinel Lighting</v>
      </c>
      <c r="C436" s="231"/>
      <c r="D436" s="232"/>
      <c r="E436" s="225">
        <f>G365</f>
        <v>444</v>
      </c>
      <c r="F436" s="225">
        <f>$H$365</f>
        <v>436</v>
      </c>
      <c r="G436" s="226">
        <f t="shared" si="94"/>
        <v>-8</v>
      </c>
      <c r="H436" s="227"/>
      <c r="I436" s="227"/>
      <c r="J436" s="225">
        <f>G368</f>
        <v>406.11999999999938</v>
      </c>
      <c r="K436" s="225">
        <f>$H$368</f>
        <v>329.73999999999944</v>
      </c>
      <c r="L436" s="229">
        <f>K436-J436</f>
        <v>-76.379999999999939</v>
      </c>
      <c r="M436" s="332">
        <f>-L436/J436</f>
        <v>0.18807249088939243</v>
      </c>
    </row>
    <row r="437" spans="2:13" ht="15" customHeight="1" x14ac:dyDescent="0.2">
      <c r="B437" s="230" t="str">
        <f t="shared" si="93"/>
        <v xml:space="preserve">Unmetered Scattered Load </v>
      </c>
      <c r="C437" s="231"/>
      <c r="D437" s="232"/>
      <c r="E437" s="225">
        <f>G380</f>
        <v>10</v>
      </c>
      <c r="F437" s="225">
        <f>$H$380</f>
        <v>10</v>
      </c>
      <c r="G437" s="226">
        <f t="shared" si="94"/>
        <v>0</v>
      </c>
      <c r="H437" s="227">
        <f>G381</f>
        <v>42933.55999999999</v>
      </c>
      <c r="I437" s="227">
        <f>$H$381</f>
        <v>42933.589999999989</v>
      </c>
      <c r="J437" s="225"/>
      <c r="K437" s="228"/>
      <c r="L437" s="229">
        <f>I437-H437</f>
        <v>2.9999999998835847E-2</v>
      </c>
      <c r="M437" s="332">
        <f>-L437/H437</f>
        <v>-6.9875407487373168E-7</v>
      </c>
    </row>
    <row r="438" spans="2:13" ht="15" customHeight="1" x14ac:dyDescent="0.2">
      <c r="B438" s="230" t="s">
        <v>16</v>
      </c>
      <c r="C438" s="231"/>
      <c r="D438" s="232"/>
      <c r="E438" s="225">
        <f>SUM(E431:E437)</f>
        <v>29964</v>
      </c>
      <c r="F438" s="225">
        <f>SUM(F431:F437)</f>
        <v>29977</v>
      </c>
      <c r="G438" s="226">
        <f>SUM(G431:G437)</f>
        <v>13</v>
      </c>
      <c r="H438" s="227">
        <f>I426</f>
        <v>268880757.59000063</v>
      </c>
      <c r="I438" s="227">
        <f>SUM(I431:I437)</f>
        <v>263364184.09000036</v>
      </c>
      <c r="J438" s="227">
        <f>SUM(J431:J437)</f>
        <v>571174.13000000012</v>
      </c>
      <c r="K438" s="227">
        <f>SUM(K431:K437)</f>
        <v>565277.37999999989</v>
      </c>
      <c r="L438" s="229"/>
    </row>
    <row r="440" spans="2:13" ht="15" customHeight="1" x14ac:dyDescent="0.25">
      <c r="B440" s="450" t="s">
        <v>280</v>
      </c>
      <c r="C440" s="450"/>
      <c r="D440" s="450"/>
      <c r="E440" s="450"/>
      <c r="F440" s="450"/>
      <c r="G440" s="450"/>
      <c r="H440" s="450"/>
      <c r="I440" s="450"/>
      <c r="J440" s="450"/>
      <c r="K440" s="450"/>
      <c r="L440" s="450"/>
    </row>
    <row r="441" spans="2:13" ht="15" customHeight="1" x14ac:dyDescent="0.2">
      <c r="B441" s="451"/>
      <c r="C441" s="452"/>
      <c r="D441" s="453"/>
      <c r="E441" s="451" t="s">
        <v>150</v>
      </c>
      <c r="F441" s="452"/>
      <c r="G441" s="453"/>
      <c r="H441" s="454" t="s">
        <v>129</v>
      </c>
      <c r="I441" s="454"/>
      <c r="J441" s="454" t="s">
        <v>151</v>
      </c>
      <c r="K441" s="454"/>
      <c r="L441" s="251"/>
    </row>
    <row r="442" spans="2:13" ht="20.5" x14ac:dyDescent="0.25">
      <c r="B442" s="447" t="s">
        <v>153</v>
      </c>
      <c r="C442" s="448"/>
      <c r="D442" s="449"/>
      <c r="E442" s="224" t="str">
        <f>+F430</f>
        <v>2017 Actual</v>
      </c>
      <c r="F442" s="224" t="s">
        <v>172</v>
      </c>
      <c r="G442" s="224" t="s">
        <v>39</v>
      </c>
      <c r="H442" s="223" t="str">
        <f>E442</f>
        <v>2017 Actual</v>
      </c>
      <c r="I442" s="224" t="str">
        <f>F442</f>
        <v>2018 Actual</v>
      </c>
      <c r="J442" s="223" t="str">
        <f>E442</f>
        <v>2017 Actual</v>
      </c>
      <c r="K442" s="224" t="str">
        <f>F442</f>
        <v>2018 Actual</v>
      </c>
      <c r="L442" s="223" t="s">
        <v>152</v>
      </c>
    </row>
    <row r="443" spans="2:13" ht="15" customHeight="1" x14ac:dyDescent="0.2">
      <c r="B443" s="230" t="str">
        <f>B431</f>
        <v xml:space="preserve">Residential </v>
      </c>
      <c r="C443" s="231"/>
      <c r="D443" s="232"/>
      <c r="E443" s="225">
        <f>H297</f>
        <v>21192</v>
      </c>
      <c r="F443" s="225">
        <f>$I$297</f>
        <v>21229</v>
      </c>
      <c r="G443" s="226">
        <f>F443-E443</f>
        <v>37</v>
      </c>
      <c r="H443" s="227">
        <f>H298</f>
        <v>184546623.13000023</v>
      </c>
      <c r="I443" s="227">
        <f>$I$298</f>
        <v>196784129.94999957</v>
      </c>
      <c r="J443" s="225"/>
      <c r="K443" s="228"/>
      <c r="L443" s="229">
        <f>I443-H443</f>
        <v>12237506.819999337</v>
      </c>
      <c r="M443" s="332">
        <f>-L443/H443</f>
        <v>-6.6311193412511626E-2</v>
      </c>
    </row>
    <row r="444" spans="2:13" ht="15" customHeight="1" x14ac:dyDescent="0.2">
      <c r="B444" s="230" t="str">
        <f t="shared" ref="B444:B449" si="95">B432</f>
        <v>General Service &lt; 50 kW</v>
      </c>
      <c r="C444" s="231"/>
      <c r="D444" s="232"/>
      <c r="E444" s="225">
        <f>H308</f>
        <v>2653</v>
      </c>
      <c r="F444" s="225">
        <f>$I$308</f>
        <v>2654</v>
      </c>
      <c r="G444" s="226">
        <f t="shared" ref="G444:G449" si="96">F444-E444</f>
        <v>1</v>
      </c>
      <c r="H444" s="227">
        <f>H309</f>
        <v>78774627.370000109</v>
      </c>
      <c r="I444" s="227">
        <f>$I$309</f>
        <v>81814082.000000045</v>
      </c>
      <c r="J444" s="225"/>
      <c r="K444" s="228"/>
      <c r="L444" s="229">
        <f>I444-H444</f>
        <v>3039454.6299999356</v>
      </c>
      <c r="M444" s="332">
        <f>-L444/H444</f>
        <v>-3.8584182895893417E-2</v>
      </c>
    </row>
    <row r="445" spans="2:13" ht="15" customHeight="1" x14ac:dyDescent="0.2">
      <c r="B445" s="230" t="str">
        <f t="shared" si="95"/>
        <v>General Service 50 to 2999 kW</v>
      </c>
      <c r="C445" s="231"/>
      <c r="D445" s="232"/>
      <c r="E445" s="225">
        <f>H319</f>
        <v>261</v>
      </c>
      <c r="F445" s="225">
        <f>$I$319</f>
        <v>258</v>
      </c>
      <c r="G445" s="226">
        <f t="shared" si="96"/>
        <v>-3</v>
      </c>
      <c r="H445" s="227"/>
      <c r="I445" s="227"/>
      <c r="J445" s="225">
        <f>H322</f>
        <v>528741.1399999999</v>
      </c>
      <c r="K445" s="225">
        <f>$I$322</f>
        <v>522247.32</v>
      </c>
      <c r="L445" s="229">
        <f>K445-J445</f>
        <v>-6493.8199999998906</v>
      </c>
      <c r="M445" s="332">
        <f>-L445/J445</f>
        <v>1.2281662062460076E-2</v>
      </c>
    </row>
    <row r="446" spans="2:13" ht="15" customHeight="1" x14ac:dyDescent="0.2">
      <c r="B446" s="230" t="str">
        <f t="shared" si="95"/>
        <v>General Service 3000 to 4999 kW</v>
      </c>
      <c r="C446" s="231"/>
      <c r="D446" s="232"/>
      <c r="E446" s="225">
        <f>H335</f>
        <v>1</v>
      </c>
      <c r="F446" s="225">
        <f>$I$335</f>
        <v>1</v>
      </c>
      <c r="G446" s="226">
        <f t="shared" si="96"/>
        <v>0</v>
      </c>
      <c r="H446" s="227"/>
      <c r="I446" s="227"/>
      <c r="J446" s="225">
        <f>H338</f>
        <v>30516.22</v>
      </c>
      <c r="K446" s="225">
        <f>$I$338</f>
        <v>30271.190000000002</v>
      </c>
      <c r="L446" s="229">
        <f>K446-J446</f>
        <v>-245.02999999999884</v>
      </c>
      <c r="M446" s="332">
        <f>-L446/J446</f>
        <v>8.0295003771764274E-3</v>
      </c>
    </row>
    <row r="447" spans="2:13" ht="15" customHeight="1" x14ac:dyDescent="0.2">
      <c r="B447" s="230" t="str">
        <f t="shared" si="95"/>
        <v>Street Lighting</v>
      </c>
      <c r="C447" s="231"/>
      <c r="D447" s="232"/>
      <c r="E447" s="225">
        <f>H350</f>
        <v>5424</v>
      </c>
      <c r="F447" s="225">
        <f>$I$350</f>
        <v>5424</v>
      </c>
      <c r="G447" s="226">
        <f t="shared" si="96"/>
        <v>0</v>
      </c>
      <c r="H447" s="227"/>
      <c r="I447" s="227"/>
      <c r="J447" s="225">
        <f>H353</f>
        <v>5690.28</v>
      </c>
      <c r="K447" s="225">
        <f>$I$353</f>
        <v>5690.28</v>
      </c>
      <c r="L447" s="229">
        <f>K447-J447</f>
        <v>0</v>
      </c>
      <c r="M447" s="332">
        <f>-L447/J447</f>
        <v>0</v>
      </c>
    </row>
    <row r="448" spans="2:13" ht="15" customHeight="1" x14ac:dyDescent="0.2">
      <c r="B448" s="230" t="str">
        <f t="shared" si="95"/>
        <v>Sentinel Lighting</v>
      </c>
      <c r="C448" s="231"/>
      <c r="D448" s="232"/>
      <c r="E448" s="225">
        <f>H365</f>
        <v>436</v>
      </c>
      <c r="F448" s="225">
        <f>$I$365</f>
        <v>425</v>
      </c>
      <c r="G448" s="226">
        <f t="shared" si="96"/>
        <v>-11</v>
      </c>
      <c r="H448" s="227"/>
      <c r="I448" s="227"/>
      <c r="J448" s="225">
        <f>H368</f>
        <v>329.73999999999944</v>
      </c>
      <c r="K448" s="225">
        <f>$I$368</f>
        <v>315.71999999999952</v>
      </c>
      <c r="L448" s="229">
        <f>K448-J448</f>
        <v>-14.019999999999925</v>
      </c>
      <c r="M448" s="332">
        <f>-L448/J448</f>
        <v>4.251834778916707E-2</v>
      </c>
    </row>
    <row r="449" spans="2:13" ht="15" customHeight="1" x14ac:dyDescent="0.2">
      <c r="B449" s="230" t="str">
        <f t="shared" si="95"/>
        <v xml:space="preserve">Unmetered Scattered Load </v>
      </c>
      <c r="C449" s="231"/>
      <c r="D449" s="232"/>
      <c r="E449" s="225">
        <f>H380</f>
        <v>10</v>
      </c>
      <c r="F449" s="225">
        <f>$I$380</f>
        <v>10</v>
      </c>
      <c r="G449" s="226">
        <f t="shared" si="96"/>
        <v>0</v>
      </c>
      <c r="H449" s="227">
        <f>H381</f>
        <v>42933.589999999989</v>
      </c>
      <c r="I449" s="227">
        <f>$I$381</f>
        <v>42072.619999999988</v>
      </c>
      <c r="J449" s="225"/>
      <c r="K449" s="228"/>
      <c r="L449" s="229">
        <f>I449-H449</f>
        <v>-860.97000000000116</v>
      </c>
      <c r="M449" s="332">
        <f>-L449/H449</f>
        <v>2.00535291830942E-2</v>
      </c>
    </row>
    <row r="450" spans="2:13" ht="15" customHeight="1" x14ac:dyDescent="0.2">
      <c r="B450" s="230" t="s">
        <v>16</v>
      </c>
      <c r="C450" s="231"/>
      <c r="D450" s="232"/>
      <c r="E450" s="225">
        <f>SUM(E443:E449)</f>
        <v>29977</v>
      </c>
      <c r="F450" s="225">
        <f>SUM(F443:F449)</f>
        <v>30001</v>
      </c>
      <c r="G450" s="226">
        <f>SUM(G443:G449)</f>
        <v>24</v>
      </c>
      <c r="H450" s="227">
        <f>I438</f>
        <v>263364184.09000036</v>
      </c>
      <c r="I450" s="227">
        <f>SUM(I443:I449)</f>
        <v>278640284.56999964</v>
      </c>
      <c r="J450" s="227">
        <f>SUM(J443:J449)</f>
        <v>565277.37999999989</v>
      </c>
      <c r="K450" s="227">
        <f>SUM(K443:K449)</f>
        <v>558524.51</v>
      </c>
      <c r="L450" s="229"/>
    </row>
    <row r="452" spans="2:13" ht="15" customHeight="1" x14ac:dyDescent="0.25">
      <c r="B452" s="450" t="s">
        <v>281</v>
      </c>
      <c r="C452" s="450"/>
      <c r="D452" s="450"/>
      <c r="E452" s="450"/>
      <c r="F452" s="450"/>
      <c r="G452" s="450"/>
      <c r="H452" s="450"/>
      <c r="I452" s="450"/>
      <c r="J452" s="450"/>
      <c r="K452" s="450"/>
      <c r="L452" s="450"/>
    </row>
    <row r="453" spans="2:13" ht="15" customHeight="1" x14ac:dyDescent="0.2">
      <c r="B453" s="451"/>
      <c r="C453" s="452"/>
      <c r="D453" s="453"/>
      <c r="E453" s="451" t="s">
        <v>150</v>
      </c>
      <c r="F453" s="452"/>
      <c r="G453" s="453"/>
      <c r="H453" s="454" t="s">
        <v>129</v>
      </c>
      <c r="I453" s="454"/>
      <c r="J453" s="454" t="s">
        <v>151</v>
      </c>
      <c r="K453" s="454"/>
      <c r="L453" s="251"/>
    </row>
    <row r="454" spans="2:13" ht="20.5" x14ac:dyDescent="0.25">
      <c r="B454" s="447" t="s">
        <v>153</v>
      </c>
      <c r="C454" s="448"/>
      <c r="D454" s="449"/>
      <c r="E454" s="224" t="str">
        <f>+F442</f>
        <v>2018 Actual</v>
      </c>
      <c r="F454" s="224" t="s">
        <v>173</v>
      </c>
      <c r="G454" s="224" t="s">
        <v>39</v>
      </c>
      <c r="H454" s="223" t="str">
        <f>E454</f>
        <v>2018 Actual</v>
      </c>
      <c r="I454" s="224" t="str">
        <f>F454</f>
        <v>2019 Actual</v>
      </c>
      <c r="J454" s="223" t="str">
        <f>E454</f>
        <v>2018 Actual</v>
      </c>
      <c r="K454" s="224" t="str">
        <f>F454</f>
        <v>2019 Actual</v>
      </c>
      <c r="L454" s="223" t="s">
        <v>152</v>
      </c>
    </row>
    <row r="455" spans="2:13" ht="15" customHeight="1" x14ac:dyDescent="0.2">
      <c r="B455" s="230" t="str">
        <f>B443</f>
        <v xml:space="preserve">Residential </v>
      </c>
      <c r="C455" s="231"/>
      <c r="D455" s="232"/>
      <c r="E455" s="225">
        <f>I297</f>
        <v>21229</v>
      </c>
      <c r="F455" s="225">
        <f>$J$297</f>
        <v>21280</v>
      </c>
      <c r="G455" s="226">
        <f>F455-E455</f>
        <v>51</v>
      </c>
      <c r="H455" s="227">
        <f>I298</f>
        <v>196784129.94999957</v>
      </c>
      <c r="I455" s="227">
        <f>$J$298</f>
        <v>197847017.74999991</v>
      </c>
      <c r="J455" s="225"/>
      <c r="K455" s="228"/>
      <c r="L455" s="229">
        <f>I455-H455</f>
        <v>1062887.8000003397</v>
      </c>
      <c r="M455" s="332">
        <f>-L455/H455</f>
        <v>-5.4012882048486656E-3</v>
      </c>
    </row>
    <row r="456" spans="2:13" ht="15" customHeight="1" x14ac:dyDescent="0.2">
      <c r="B456" s="230" t="str">
        <f t="shared" ref="B456:B461" si="97">B444</f>
        <v>General Service &lt; 50 kW</v>
      </c>
      <c r="C456" s="231"/>
      <c r="D456" s="232"/>
      <c r="E456" s="225">
        <f>I308</f>
        <v>2654</v>
      </c>
      <c r="F456" s="225">
        <f>$J$308</f>
        <v>2653</v>
      </c>
      <c r="G456" s="226">
        <f t="shared" ref="G456:G461" si="98">F456-E456</f>
        <v>-1</v>
      </c>
      <c r="H456" s="227">
        <f>I309</f>
        <v>81814082.000000045</v>
      </c>
      <c r="I456" s="227">
        <f>$J$309</f>
        <v>80410230.090000004</v>
      </c>
      <c r="J456" s="225"/>
      <c r="K456" s="228"/>
      <c r="L456" s="229">
        <f>I456-H456</f>
        <v>-1403851.9100000411</v>
      </c>
      <c r="M456" s="332">
        <f>-L456/H456</f>
        <v>1.7159049832033077E-2</v>
      </c>
    </row>
    <row r="457" spans="2:13" ht="15" customHeight="1" x14ac:dyDescent="0.2">
      <c r="B457" s="230" t="str">
        <f t="shared" si="97"/>
        <v>General Service 50 to 2999 kW</v>
      </c>
      <c r="C457" s="231"/>
      <c r="D457" s="232"/>
      <c r="E457" s="225">
        <f>I319</f>
        <v>258</v>
      </c>
      <c r="F457" s="225">
        <f>$J$319</f>
        <v>263</v>
      </c>
      <c r="G457" s="226">
        <f t="shared" si="98"/>
        <v>5</v>
      </c>
      <c r="H457" s="227"/>
      <c r="I457" s="227"/>
      <c r="J457" s="225">
        <f>I322</f>
        <v>522247.32</v>
      </c>
      <c r="K457" s="225">
        <f>$J$322</f>
        <v>523294.41</v>
      </c>
      <c r="L457" s="229">
        <f>K457-J457</f>
        <v>1047.0899999999674</v>
      </c>
      <c r="M457" s="332">
        <f>-L457/J457</f>
        <v>-2.0049695994609745E-3</v>
      </c>
    </row>
    <row r="458" spans="2:13" ht="15" customHeight="1" x14ac:dyDescent="0.2">
      <c r="B458" s="230" t="str">
        <f t="shared" si="97"/>
        <v>General Service 3000 to 4999 kW</v>
      </c>
      <c r="C458" s="231"/>
      <c r="D458" s="232"/>
      <c r="E458" s="225">
        <f>I335</f>
        <v>1</v>
      </c>
      <c r="F458" s="225">
        <f>$J$335</f>
        <v>1</v>
      </c>
      <c r="G458" s="226">
        <f t="shared" si="98"/>
        <v>0</v>
      </c>
      <c r="H458" s="227"/>
      <c r="I458" s="227"/>
      <c r="J458" s="225">
        <f>I338</f>
        <v>30271.190000000002</v>
      </c>
      <c r="K458" s="225">
        <f>$J$338</f>
        <v>29275.15</v>
      </c>
      <c r="L458" s="229">
        <f>K458-J458</f>
        <v>-996.04000000000087</v>
      </c>
      <c r="M458" s="332">
        <f>-L458/J458</f>
        <v>3.2903893107604977E-2</v>
      </c>
    </row>
    <row r="459" spans="2:13" ht="15" customHeight="1" x14ac:dyDescent="0.2">
      <c r="B459" s="230" t="str">
        <f t="shared" si="97"/>
        <v>Street Lighting</v>
      </c>
      <c r="C459" s="231"/>
      <c r="D459" s="232"/>
      <c r="E459" s="225">
        <f>I350</f>
        <v>5424</v>
      </c>
      <c r="F459" s="225">
        <f>$J$350</f>
        <v>5424</v>
      </c>
      <c r="G459" s="226">
        <f t="shared" si="98"/>
        <v>0</v>
      </c>
      <c r="H459" s="227"/>
      <c r="I459" s="227"/>
      <c r="J459" s="225">
        <f>I353</f>
        <v>5690.28</v>
      </c>
      <c r="K459" s="225">
        <f>$J$353</f>
        <v>5690.28</v>
      </c>
      <c r="L459" s="229">
        <f>K459-J459</f>
        <v>0</v>
      </c>
      <c r="M459" s="332">
        <f>-L459/J459</f>
        <v>0</v>
      </c>
    </row>
    <row r="460" spans="2:13" ht="15" customHeight="1" x14ac:dyDescent="0.2">
      <c r="B460" s="230" t="str">
        <f t="shared" si="97"/>
        <v>Sentinel Lighting</v>
      </c>
      <c r="C460" s="231"/>
      <c r="D460" s="232"/>
      <c r="E460" s="225">
        <f>I365</f>
        <v>425</v>
      </c>
      <c r="F460" s="225">
        <f>$J$365</f>
        <v>417</v>
      </c>
      <c r="G460" s="226">
        <f t="shared" si="98"/>
        <v>-8</v>
      </c>
      <c r="H460" s="227"/>
      <c r="I460" s="227"/>
      <c r="J460" s="225">
        <f>I368</f>
        <v>315.71999999999952</v>
      </c>
      <c r="K460" s="225">
        <f>$J$368</f>
        <v>310.34000000000003</v>
      </c>
      <c r="L460" s="229">
        <f>K460-J460</f>
        <v>-5.3799999999994839</v>
      </c>
      <c r="M460" s="332">
        <f>-L460/J460</f>
        <v>1.7040415558087836E-2</v>
      </c>
    </row>
    <row r="461" spans="2:13" ht="15" customHeight="1" x14ac:dyDescent="0.2">
      <c r="B461" s="230" t="str">
        <f t="shared" si="97"/>
        <v xml:space="preserve">Unmetered Scattered Load </v>
      </c>
      <c r="C461" s="231"/>
      <c r="D461" s="232"/>
      <c r="E461" s="225">
        <f>I380</f>
        <v>10</v>
      </c>
      <c r="F461" s="225">
        <f>$J$380</f>
        <v>9</v>
      </c>
      <c r="G461" s="226">
        <f t="shared" si="98"/>
        <v>-1</v>
      </c>
      <c r="H461" s="227">
        <f>I381</f>
        <v>42072.619999999988</v>
      </c>
      <c r="I461" s="227">
        <f>$J$381</f>
        <v>39489.699999999997</v>
      </c>
      <c r="J461" s="225"/>
      <c r="K461" s="228"/>
      <c r="L461" s="229">
        <f>I461-H461</f>
        <v>-2582.919999999991</v>
      </c>
      <c r="M461" s="332">
        <f>-L461/H461</f>
        <v>6.1391945640656365E-2</v>
      </c>
    </row>
    <row r="462" spans="2:13" ht="15" customHeight="1" x14ac:dyDescent="0.2">
      <c r="B462" s="230" t="s">
        <v>16</v>
      </c>
      <c r="C462" s="231"/>
      <c r="D462" s="232"/>
      <c r="E462" s="225">
        <f>SUM(E455:E461)</f>
        <v>30001</v>
      </c>
      <c r="F462" s="225">
        <f>SUM(F455:F461)</f>
        <v>30047</v>
      </c>
      <c r="G462" s="226">
        <f>SUM(G455:G461)</f>
        <v>46</v>
      </c>
      <c r="H462" s="227">
        <f>I450</f>
        <v>278640284.56999964</v>
      </c>
      <c r="I462" s="227">
        <f>SUM(I455:I461)</f>
        <v>278296737.5399999</v>
      </c>
      <c r="J462" s="227">
        <f>SUM(J455:J461)</f>
        <v>558524.51</v>
      </c>
      <c r="K462" s="227">
        <f>SUM(K455:K461)</f>
        <v>558570.17999999993</v>
      </c>
      <c r="L462" s="229"/>
    </row>
    <row r="464" spans="2:13" ht="15" customHeight="1" x14ac:dyDescent="0.25">
      <c r="B464" s="450" t="s">
        <v>282</v>
      </c>
      <c r="C464" s="450"/>
      <c r="D464" s="450"/>
      <c r="E464" s="450"/>
      <c r="F464" s="450"/>
      <c r="G464" s="450"/>
      <c r="H464" s="450"/>
      <c r="I464" s="450"/>
      <c r="J464" s="450"/>
      <c r="K464" s="450"/>
      <c r="L464" s="450"/>
    </row>
    <row r="465" spans="2:13" ht="15" customHeight="1" x14ac:dyDescent="0.2">
      <c r="B465" s="451"/>
      <c r="C465" s="452"/>
      <c r="D465" s="453"/>
      <c r="E465" s="451" t="s">
        <v>150</v>
      </c>
      <c r="F465" s="452"/>
      <c r="G465" s="453"/>
      <c r="H465" s="454" t="s">
        <v>129</v>
      </c>
      <c r="I465" s="454"/>
      <c r="J465" s="454" t="s">
        <v>151</v>
      </c>
      <c r="K465" s="454"/>
      <c r="L465" s="251"/>
    </row>
    <row r="466" spans="2:13" ht="20.5" x14ac:dyDescent="0.25">
      <c r="B466" s="447" t="s">
        <v>153</v>
      </c>
      <c r="C466" s="448"/>
      <c r="D466" s="449"/>
      <c r="E466" s="224" t="str">
        <f>+F454</f>
        <v>2019 Actual</v>
      </c>
      <c r="F466" s="224" t="s">
        <v>202</v>
      </c>
      <c r="G466" s="224" t="s">
        <v>39</v>
      </c>
      <c r="H466" s="223" t="str">
        <f>E466</f>
        <v>2019 Actual</v>
      </c>
      <c r="I466" s="224" t="str">
        <f>F466</f>
        <v>2020 Bridge</v>
      </c>
      <c r="J466" s="223" t="str">
        <f>E466</f>
        <v>2019 Actual</v>
      </c>
      <c r="K466" s="224" t="str">
        <f>F466</f>
        <v>2020 Bridge</v>
      </c>
      <c r="L466" s="223" t="s">
        <v>152</v>
      </c>
    </row>
    <row r="467" spans="2:13" ht="15" customHeight="1" x14ac:dyDescent="0.2">
      <c r="B467" s="230" t="str">
        <f>B455</f>
        <v xml:space="preserve">Residential </v>
      </c>
      <c r="C467" s="231"/>
      <c r="D467" s="232"/>
      <c r="E467" s="225">
        <f>J297</f>
        <v>21280</v>
      </c>
      <c r="F467" s="225">
        <f>K297</f>
        <v>21316</v>
      </c>
      <c r="G467" s="226">
        <f>F467-E467</f>
        <v>36</v>
      </c>
      <c r="H467" s="227">
        <f>J298</f>
        <v>197847017.74999991</v>
      </c>
      <c r="I467" s="227">
        <f>K298</f>
        <v>199682216.91900477</v>
      </c>
      <c r="J467" s="225"/>
      <c r="K467" s="228"/>
      <c r="L467" s="229">
        <f>I467-H467</f>
        <v>1835199.1690048575</v>
      </c>
      <c r="M467" s="332">
        <f>-L467/H467</f>
        <v>-9.2758495421134974E-3</v>
      </c>
    </row>
    <row r="468" spans="2:13" ht="15" customHeight="1" x14ac:dyDescent="0.2">
      <c r="B468" s="230" t="str">
        <f t="shared" ref="B468:B473" si="99">B456</f>
        <v>General Service &lt; 50 kW</v>
      </c>
      <c r="C468" s="231"/>
      <c r="D468" s="232"/>
      <c r="E468" s="225">
        <f>J308</f>
        <v>2653</v>
      </c>
      <c r="F468" s="225">
        <f>K308</f>
        <v>2651</v>
      </c>
      <c r="G468" s="226">
        <f t="shared" ref="G468:G473" si="100">F468-E468</f>
        <v>-2</v>
      </c>
      <c r="H468" s="227">
        <f>J309</f>
        <v>80410230.090000004</v>
      </c>
      <c r="I468" s="227">
        <f>K309</f>
        <v>79636963.846008897</v>
      </c>
      <c r="J468" s="225"/>
      <c r="K468" s="228"/>
      <c r="L468" s="229">
        <f>I468-H468</f>
        <v>-773266.24399110675</v>
      </c>
      <c r="M468" s="332">
        <f>-L468/H468</f>
        <v>9.6165157483770452E-3</v>
      </c>
    </row>
    <row r="469" spans="2:13" ht="15" customHeight="1" x14ac:dyDescent="0.2">
      <c r="B469" s="230" t="str">
        <f t="shared" si="99"/>
        <v>General Service 50 to 2999 kW</v>
      </c>
      <c r="C469" s="231"/>
      <c r="D469" s="232"/>
      <c r="E469" s="225">
        <f>J319</f>
        <v>263</v>
      </c>
      <c r="F469" s="225">
        <f>K319</f>
        <v>266</v>
      </c>
      <c r="G469" s="226">
        <f t="shared" si="100"/>
        <v>3</v>
      </c>
      <c r="H469" s="227"/>
      <c r="I469" s="227"/>
      <c r="J469" s="225">
        <f>J322</f>
        <v>523294.41</v>
      </c>
      <c r="K469" s="225">
        <f>K322</f>
        <v>518926.85911675467</v>
      </c>
      <c r="L469" s="229">
        <f>K469-J469</f>
        <v>-4367.5508832453052</v>
      </c>
      <c r="M469" s="332">
        <f>-L469/J469</f>
        <v>8.3462593900922918E-3</v>
      </c>
    </row>
    <row r="470" spans="2:13" ht="15" customHeight="1" x14ac:dyDescent="0.2">
      <c r="B470" s="230" t="str">
        <f t="shared" si="99"/>
        <v>General Service 3000 to 4999 kW</v>
      </c>
      <c r="C470" s="231"/>
      <c r="D470" s="232"/>
      <c r="E470" s="225">
        <f>J335</f>
        <v>1</v>
      </c>
      <c r="F470" s="225">
        <f>K335</f>
        <v>1</v>
      </c>
      <c r="G470" s="226">
        <f t="shared" si="100"/>
        <v>0</v>
      </c>
      <c r="H470" s="227"/>
      <c r="I470" s="227"/>
      <c r="J470" s="225">
        <f>J338</f>
        <v>29275.15</v>
      </c>
      <c r="K470" s="225">
        <f>K338</f>
        <v>27927.216521161627</v>
      </c>
      <c r="L470" s="229">
        <f>K470-J470</f>
        <v>-1347.9334788383749</v>
      </c>
      <c r="M470" s="332">
        <f>-L470/J470</f>
        <v>4.6043606227068858E-2</v>
      </c>
    </row>
    <row r="471" spans="2:13" ht="15" customHeight="1" x14ac:dyDescent="0.2">
      <c r="B471" s="230" t="str">
        <f t="shared" si="99"/>
        <v>Street Lighting</v>
      </c>
      <c r="C471" s="231"/>
      <c r="D471" s="232"/>
      <c r="E471" s="225">
        <f>J350</f>
        <v>5424</v>
      </c>
      <c r="F471" s="225">
        <f>K350</f>
        <v>5424</v>
      </c>
      <c r="G471" s="226">
        <f t="shared" si="100"/>
        <v>0</v>
      </c>
      <c r="H471" s="227"/>
      <c r="I471" s="227"/>
      <c r="J471" s="225">
        <f>J353</f>
        <v>5690.28</v>
      </c>
      <c r="K471" s="225">
        <f>K353</f>
        <v>5690.28</v>
      </c>
      <c r="L471" s="229">
        <f>K471-J471</f>
        <v>0</v>
      </c>
      <c r="M471" s="332">
        <f>-L471/J471</f>
        <v>0</v>
      </c>
    </row>
    <row r="472" spans="2:13" ht="15" customHeight="1" x14ac:dyDescent="0.2">
      <c r="B472" s="230" t="str">
        <f t="shared" si="99"/>
        <v>Sentinel Lighting</v>
      </c>
      <c r="C472" s="231"/>
      <c r="D472" s="232"/>
      <c r="E472" s="225">
        <f>J365</f>
        <v>417</v>
      </c>
      <c r="F472" s="225">
        <f>K365</f>
        <v>408</v>
      </c>
      <c r="G472" s="226">
        <f t="shared" si="100"/>
        <v>-9</v>
      </c>
      <c r="H472" s="227"/>
      <c r="I472" s="227"/>
      <c r="J472" s="225">
        <f>J368</f>
        <v>310.34000000000003</v>
      </c>
      <c r="K472" s="225">
        <f>K368</f>
        <v>304.29369952634471</v>
      </c>
      <c r="L472" s="229">
        <f>K472-J472</f>
        <v>-6.0463004736553216</v>
      </c>
      <c r="M472" s="332">
        <f>-L472/J472</f>
        <v>1.9482826814639819E-2</v>
      </c>
    </row>
    <row r="473" spans="2:13" ht="15" customHeight="1" x14ac:dyDescent="0.2">
      <c r="B473" s="230" t="str">
        <f t="shared" si="99"/>
        <v xml:space="preserve">Unmetered Scattered Load </v>
      </c>
      <c r="C473" s="231"/>
      <c r="D473" s="232"/>
      <c r="E473" s="225">
        <f>J380</f>
        <v>9</v>
      </c>
      <c r="F473" s="225">
        <f>K380</f>
        <v>9</v>
      </c>
      <c r="G473" s="226">
        <f t="shared" si="100"/>
        <v>0</v>
      </c>
      <c r="H473" s="227">
        <f>J381</f>
        <v>39489.699999999997</v>
      </c>
      <c r="I473" s="227">
        <f>K381</f>
        <v>39489.699999999997</v>
      </c>
      <c r="J473" s="225"/>
      <c r="K473" s="228"/>
      <c r="L473" s="229">
        <f>I473-H473</f>
        <v>0</v>
      </c>
      <c r="M473" s="332">
        <f>-L473/H473</f>
        <v>0</v>
      </c>
    </row>
    <row r="474" spans="2:13" ht="15" customHeight="1" x14ac:dyDescent="0.2">
      <c r="B474" s="230" t="s">
        <v>16</v>
      </c>
      <c r="C474" s="231"/>
      <c r="D474" s="232"/>
      <c r="E474" s="225">
        <f>SUM(E467:E473)</f>
        <v>30047</v>
      </c>
      <c r="F474" s="225">
        <f>SUM(F467:F473)</f>
        <v>30075</v>
      </c>
      <c r="G474" s="226">
        <f>SUM(G467:G473)</f>
        <v>28</v>
      </c>
      <c r="H474" s="227">
        <f>I462</f>
        <v>278296737.5399999</v>
      </c>
      <c r="I474" s="227">
        <f>SUM(I467:I473)</f>
        <v>279358670.46501368</v>
      </c>
      <c r="J474" s="227">
        <f>SUM(J467:J473)</f>
        <v>558570.17999999993</v>
      </c>
      <c r="K474" s="227">
        <f>SUM(K467:K473)</f>
        <v>552848.64933744271</v>
      </c>
      <c r="L474" s="229"/>
    </row>
    <row r="476" spans="2:13" ht="15" customHeight="1" x14ac:dyDescent="0.25">
      <c r="B476" s="450" t="s">
        <v>283</v>
      </c>
      <c r="C476" s="450"/>
      <c r="D476" s="450"/>
      <c r="E476" s="450"/>
      <c r="F476" s="450"/>
      <c r="G476" s="450"/>
      <c r="H476" s="450"/>
      <c r="I476" s="450"/>
      <c r="J476" s="450"/>
      <c r="K476" s="450"/>
      <c r="L476" s="450"/>
    </row>
    <row r="477" spans="2:13" ht="15" customHeight="1" x14ac:dyDescent="0.2">
      <c r="B477" s="451"/>
      <c r="C477" s="452"/>
      <c r="D477" s="453"/>
      <c r="E477" s="451" t="s">
        <v>150</v>
      </c>
      <c r="F477" s="452"/>
      <c r="G477" s="453"/>
      <c r="H477" s="454" t="s">
        <v>129</v>
      </c>
      <c r="I477" s="454"/>
      <c r="J477" s="454" t="s">
        <v>151</v>
      </c>
      <c r="K477" s="454"/>
      <c r="L477" s="251"/>
    </row>
    <row r="478" spans="2:13" ht="20.5" x14ac:dyDescent="0.25">
      <c r="B478" s="447" t="s">
        <v>153</v>
      </c>
      <c r="C478" s="448"/>
      <c r="D478" s="449"/>
      <c r="E478" s="224" t="str">
        <f>+F466</f>
        <v>2020 Bridge</v>
      </c>
      <c r="F478" s="224" t="s">
        <v>203</v>
      </c>
      <c r="G478" s="224" t="s">
        <v>39</v>
      </c>
      <c r="H478" s="223" t="str">
        <f>E478</f>
        <v>2020 Bridge</v>
      </c>
      <c r="I478" s="224" t="str">
        <f>F478</f>
        <v>2021 Test</v>
      </c>
      <c r="J478" s="223" t="str">
        <f>E478</f>
        <v>2020 Bridge</v>
      </c>
      <c r="K478" s="224" t="str">
        <f>F478</f>
        <v>2021 Test</v>
      </c>
      <c r="L478" s="223" t="s">
        <v>152</v>
      </c>
    </row>
    <row r="479" spans="2:13" ht="15" customHeight="1" x14ac:dyDescent="0.2">
      <c r="B479" s="230" t="str">
        <f>B467</f>
        <v xml:space="preserve">Residential </v>
      </c>
      <c r="C479" s="231"/>
      <c r="D479" s="232"/>
      <c r="E479" s="225">
        <f>+F467</f>
        <v>21316</v>
      </c>
      <c r="F479" s="225">
        <f>+L297</f>
        <v>21352</v>
      </c>
      <c r="G479" s="226">
        <f>F479-E479</f>
        <v>36</v>
      </c>
      <c r="H479" s="227">
        <f>+I467</f>
        <v>199682216.91900477</v>
      </c>
      <c r="I479" s="227">
        <f>+L298</f>
        <v>201705111.05903772</v>
      </c>
      <c r="J479" s="225"/>
      <c r="K479" s="228"/>
      <c r="L479" s="229">
        <f>I479-H479</f>
        <v>2022894.1400329471</v>
      </c>
      <c r="M479" s="332">
        <f>-L479/H479</f>
        <v>-1.0130567314632102E-2</v>
      </c>
    </row>
    <row r="480" spans="2:13" ht="15" customHeight="1" x14ac:dyDescent="0.2">
      <c r="B480" s="230" t="str">
        <f t="shared" ref="B480:B485" si="101">B468</f>
        <v>General Service &lt; 50 kW</v>
      </c>
      <c r="C480" s="231"/>
      <c r="D480" s="232"/>
      <c r="E480" s="225">
        <f t="shared" ref="E480:E485" si="102">+F468</f>
        <v>2651</v>
      </c>
      <c r="F480" s="225">
        <f>+L308</f>
        <v>2649</v>
      </c>
      <c r="G480" s="226">
        <f t="shared" ref="G480:G485" si="103">F480-E480</f>
        <v>-2</v>
      </c>
      <c r="H480" s="227">
        <f>+I468</f>
        <v>79636963.846008897</v>
      </c>
      <c r="I480" s="227">
        <f>+L309</f>
        <v>79035853.179389015</v>
      </c>
      <c r="J480" s="225"/>
      <c r="K480" s="228"/>
      <c r="L480" s="229">
        <f>I480-H480</f>
        <v>-601110.66661988199</v>
      </c>
      <c r="M480" s="332">
        <f>-L480/H480</f>
        <v>7.5481364129128259E-3</v>
      </c>
    </row>
    <row r="481" spans="2:13" ht="15" customHeight="1" x14ac:dyDescent="0.2">
      <c r="B481" s="230" t="str">
        <f t="shared" si="101"/>
        <v>General Service 50 to 2999 kW</v>
      </c>
      <c r="C481" s="231"/>
      <c r="D481" s="232"/>
      <c r="E481" s="225">
        <f t="shared" si="102"/>
        <v>266</v>
      </c>
      <c r="F481" s="225">
        <f>+L319</f>
        <v>269</v>
      </c>
      <c r="G481" s="226">
        <f t="shared" si="103"/>
        <v>3</v>
      </c>
      <c r="H481" s="227"/>
      <c r="I481" s="227"/>
      <c r="J481" s="227">
        <f>+K469</f>
        <v>518926.85911675467</v>
      </c>
      <c r="K481" s="225">
        <f>+L322</f>
        <v>514190.46940316743</v>
      </c>
      <c r="L481" s="229">
        <f>K481-J481</f>
        <v>-4736.3897135872394</v>
      </c>
      <c r="M481" s="332">
        <f>-L481/J481</f>
        <v>9.1272780168844322E-3</v>
      </c>
    </row>
    <row r="482" spans="2:13" ht="15" customHeight="1" x14ac:dyDescent="0.2">
      <c r="B482" s="230" t="str">
        <f t="shared" si="101"/>
        <v>General Service 3000 to 4999 kW</v>
      </c>
      <c r="C482" s="231"/>
      <c r="D482" s="232"/>
      <c r="E482" s="225">
        <f t="shared" si="102"/>
        <v>1</v>
      </c>
      <c r="F482" s="225">
        <f>+L335</f>
        <v>1</v>
      </c>
      <c r="G482" s="226">
        <f t="shared" si="103"/>
        <v>0</v>
      </c>
      <c r="H482" s="227"/>
      <c r="I482" s="227"/>
      <c r="J482" s="227">
        <f>+K470</f>
        <v>27927.216521161627</v>
      </c>
      <c r="K482" s="225">
        <f>+L338</f>
        <v>27098.262991662719</v>
      </c>
      <c r="L482" s="229">
        <f>K482-J482</f>
        <v>-828.9535294989073</v>
      </c>
      <c r="M482" s="332">
        <f>-L482/J482</f>
        <v>2.9682640547824532E-2</v>
      </c>
    </row>
    <row r="483" spans="2:13" ht="15" customHeight="1" x14ac:dyDescent="0.2">
      <c r="B483" s="230" t="str">
        <f t="shared" si="101"/>
        <v>Street Lighting</v>
      </c>
      <c r="C483" s="231"/>
      <c r="D483" s="232"/>
      <c r="E483" s="225">
        <f t="shared" si="102"/>
        <v>5424</v>
      </c>
      <c r="F483" s="225">
        <f>+L350</f>
        <v>5424</v>
      </c>
      <c r="G483" s="226">
        <f t="shared" si="103"/>
        <v>0</v>
      </c>
      <c r="H483" s="227"/>
      <c r="I483" s="227"/>
      <c r="J483" s="227">
        <f>+K471</f>
        <v>5690.28</v>
      </c>
      <c r="K483" s="225">
        <f>+L353</f>
        <v>5690.28</v>
      </c>
      <c r="L483" s="229">
        <f>K483-J483</f>
        <v>0</v>
      </c>
      <c r="M483" s="332">
        <f>-L483/J483</f>
        <v>0</v>
      </c>
    </row>
    <row r="484" spans="2:13" ht="15" customHeight="1" x14ac:dyDescent="0.2">
      <c r="B484" s="230" t="str">
        <f t="shared" si="101"/>
        <v>Sentinel Lighting</v>
      </c>
      <c r="C484" s="231"/>
      <c r="D484" s="232"/>
      <c r="E484" s="225">
        <f t="shared" si="102"/>
        <v>408</v>
      </c>
      <c r="F484" s="225">
        <f>+L365</f>
        <v>400</v>
      </c>
      <c r="G484" s="226">
        <f t="shared" si="103"/>
        <v>-8</v>
      </c>
      <c r="H484" s="227"/>
      <c r="I484" s="227"/>
      <c r="J484" s="227">
        <f>+K472</f>
        <v>304.29369952634471</v>
      </c>
      <c r="K484" s="225">
        <f>+L368</f>
        <v>298.32715639837716</v>
      </c>
      <c r="L484" s="229">
        <f>K484-J484</f>
        <v>-5.9665431279675545</v>
      </c>
      <c r="M484" s="332">
        <f>-L484/J484</f>
        <v>1.960784313725494E-2</v>
      </c>
    </row>
    <row r="485" spans="2:13" ht="15" customHeight="1" x14ac:dyDescent="0.2">
      <c r="B485" s="230" t="str">
        <f t="shared" si="101"/>
        <v xml:space="preserve">Unmetered Scattered Load </v>
      </c>
      <c r="C485" s="231"/>
      <c r="D485" s="232"/>
      <c r="E485" s="225">
        <f t="shared" si="102"/>
        <v>9</v>
      </c>
      <c r="F485" s="225">
        <f>+L380</f>
        <v>9</v>
      </c>
      <c r="G485" s="226">
        <f t="shared" si="103"/>
        <v>0</v>
      </c>
      <c r="H485" s="227">
        <f>+I473</f>
        <v>39489.699999999997</v>
      </c>
      <c r="I485" s="227">
        <f>+L381</f>
        <v>39489.699999999997</v>
      </c>
      <c r="J485" s="225"/>
      <c r="K485" s="228"/>
      <c r="L485" s="229">
        <f>I485-H485</f>
        <v>0</v>
      </c>
      <c r="M485" s="332">
        <f>-L485/H485</f>
        <v>0</v>
      </c>
    </row>
    <row r="486" spans="2:13" ht="15" customHeight="1" x14ac:dyDescent="0.2">
      <c r="B486" s="230" t="s">
        <v>16</v>
      </c>
      <c r="C486" s="231"/>
      <c r="D486" s="232"/>
      <c r="E486" s="225">
        <f>SUM(E479:E485)</f>
        <v>30075</v>
      </c>
      <c r="F486" s="225">
        <f>SUM(F479:F485)</f>
        <v>30104</v>
      </c>
      <c r="G486" s="226">
        <f>SUM(G479:G485)</f>
        <v>29</v>
      </c>
      <c r="H486" s="227">
        <f>I474</f>
        <v>279358670.46501368</v>
      </c>
      <c r="I486" s="227">
        <f>SUM(I479:I485)</f>
        <v>280780453.93842673</v>
      </c>
      <c r="J486" s="227">
        <f>SUM(J479:J485)</f>
        <v>552848.64933744271</v>
      </c>
      <c r="K486" s="227">
        <f>SUM(K479:K485)</f>
        <v>547277.33955122845</v>
      </c>
      <c r="L486" s="229"/>
    </row>
    <row r="489" spans="2:13" ht="15" customHeight="1" x14ac:dyDescent="0.25">
      <c r="B489" s="62" t="s">
        <v>233</v>
      </c>
    </row>
    <row r="490" spans="2:13" ht="15" customHeight="1" x14ac:dyDescent="0.2">
      <c r="B490" s="451"/>
      <c r="C490" s="452"/>
      <c r="D490" s="453"/>
      <c r="E490" s="451" t="s">
        <v>150</v>
      </c>
      <c r="F490" s="452"/>
      <c r="G490" s="453"/>
      <c r="H490" s="454" t="s">
        <v>129</v>
      </c>
      <c r="I490" s="454"/>
      <c r="J490" s="454" t="s">
        <v>151</v>
      </c>
      <c r="K490" s="454"/>
      <c r="L490" s="251"/>
    </row>
    <row r="491" spans="2:13" ht="32.25" customHeight="1" x14ac:dyDescent="0.25">
      <c r="B491" s="447" t="s">
        <v>153</v>
      </c>
      <c r="C491" s="448"/>
      <c r="D491" s="449"/>
      <c r="E491" s="224" t="str">
        <f t="shared" ref="E491:E498" si="104">+E406</f>
        <v xml:space="preserve">2015 Board Approved </v>
      </c>
      <c r="F491" s="224" t="str">
        <f t="shared" ref="F491:F498" si="105">+F478</f>
        <v>2021 Test</v>
      </c>
      <c r="G491" s="224" t="s">
        <v>39</v>
      </c>
      <c r="H491" s="223" t="str">
        <f>E491</f>
        <v xml:space="preserve">2015 Board Approved </v>
      </c>
      <c r="I491" s="224" t="str">
        <f>F491</f>
        <v>2021 Test</v>
      </c>
      <c r="J491" s="223" t="str">
        <f>E491</f>
        <v xml:space="preserve">2015 Board Approved </v>
      </c>
      <c r="K491" s="224" t="str">
        <f>F491</f>
        <v>2021 Test</v>
      </c>
      <c r="L491" s="223" t="s">
        <v>152</v>
      </c>
    </row>
    <row r="492" spans="2:13" ht="15" customHeight="1" x14ac:dyDescent="0.2">
      <c r="B492" s="230" t="s">
        <v>2</v>
      </c>
      <c r="C492" s="231"/>
      <c r="D492" s="232"/>
      <c r="E492" s="224">
        <f t="shared" si="104"/>
        <v>21124</v>
      </c>
      <c r="F492" s="224">
        <f t="shared" si="105"/>
        <v>21352</v>
      </c>
      <c r="G492" s="226">
        <f>F492-E492</f>
        <v>228</v>
      </c>
      <c r="H492" s="227">
        <f>+H407</f>
        <v>205497425</v>
      </c>
      <c r="I492" s="227">
        <f>+I479</f>
        <v>201705111.05903772</v>
      </c>
      <c r="J492" s="225"/>
      <c r="K492" s="228"/>
      <c r="L492" s="229">
        <f>I492-H492</f>
        <v>-3792313.9409622848</v>
      </c>
    </row>
    <row r="493" spans="2:13" ht="15" customHeight="1" x14ac:dyDescent="0.2">
      <c r="B493" s="230" t="s">
        <v>208</v>
      </c>
      <c r="C493" s="231"/>
      <c r="D493" s="232"/>
      <c r="E493" s="224">
        <f t="shared" si="104"/>
        <v>2668</v>
      </c>
      <c r="F493" s="224">
        <f t="shared" si="105"/>
        <v>2649</v>
      </c>
      <c r="G493" s="226">
        <f t="shared" ref="G493:G498" si="106">F493-E493</f>
        <v>-19</v>
      </c>
      <c r="H493" s="227">
        <f>+H408</f>
        <v>85361037</v>
      </c>
      <c r="I493" s="227">
        <f>+I480</f>
        <v>79035853.179389015</v>
      </c>
      <c r="J493" s="225"/>
      <c r="K493" s="228"/>
      <c r="L493" s="229">
        <f>I493-H493</f>
        <v>-6325183.8206109852</v>
      </c>
    </row>
    <row r="494" spans="2:13" ht="15" customHeight="1" x14ac:dyDescent="0.2">
      <c r="B494" s="230" t="s">
        <v>209</v>
      </c>
      <c r="C494" s="231"/>
      <c r="D494" s="232"/>
      <c r="E494" s="224">
        <f t="shared" si="104"/>
        <v>247</v>
      </c>
      <c r="F494" s="224">
        <f t="shared" si="105"/>
        <v>269</v>
      </c>
      <c r="G494" s="226">
        <f t="shared" si="106"/>
        <v>22</v>
      </c>
      <c r="H494" s="227"/>
      <c r="I494" s="227"/>
      <c r="J494" s="227">
        <f>+J409</f>
        <v>519864.63481550448</v>
      </c>
      <c r="K494" s="225">
        <f>+K481</f>
        <v>514190.46940316743</v>
      </c>
      <c r="L494" s="229">
        <f>K494-J494</f>
        <v>-5674.1654123370536</v>
      </c>
    </row>
    <row r="495" spans="2:13" ht="15" customHeight="1" x14ac:dyDescent="0.2">
      <c r="B495" s="230" t="s">
        <v>210</v>
      </c>
      <c r="C495" s="231"/>
      <c r="D495" s="232"/>
      <c r="E495" s="224">
        <f t="shared" si="104"/>
        <v>1</v>
      </c>
      <c r="F495" s="224">
        <f t="shared" si="105"/>
        <v>1</v>
      </c>
      <c r="G495" s="226">
        <f t="shared" si="106"/>
        <v>0</v>
      </c>
      <c r="H495" s="227"/>
      <c r="I495" s="227"/>
      <c r="J495" s="227">
        <f>+J410</f>
        <v>33801.425697666316</v>
      </c>
      <c r="K495" s="225">
        <f>+K482</f>
        <v>27098.262991662719</v>
      </c>
      <c r="L495" s="229">
        <f>K495-J495</f>
        <v>-6703.1627060035971</v>
      </c>
    </row>
    <row r="496" spans="2:13" ht="15" customHeight="1" x14ac:dyDescent="0.2">
      <c r="B496" s="230" t="s">
        <v>142</v>
      </c>
      <c r="C496" s="231"/>
      <c r="D496" s="232"/>
      <c r="E496" s="224">
        <f t="shared" si="104"/>
        <v>5419</v>
      </c>
      <c r="F496" s="224">
        <f t="shared" si="105"/>
        <v>5424</v>
      </c>
      <c r="G496" s="226">
        <f t="shared" si="106"/>
        <v>5</v>
      </c>
      <c r="H496" s="227"/>
      <c r="I496" s="227"/>
      <c r="J496" s="227">
        <f>+J411</f>
        <v>5641.08</v>
      </c>
      <c r="K496" s="225">
        <f>+K483</f>
        <v>5690.28</v>
      </c>
      <c r="L496" s="229">
        <f>K496-J496</f>
        <v>49.199999999999818</v>
      </c>
    </row>
    <row r="497" spans="2:12" ht="15" customHeight="1" x14ac:dyDescent="0.2">
      <c r="B497" s="230" t="s">
        <v>143</v>
      </c>
      <c r="C497" s="231"/>
      <c r="D497" s="232"/>
      <c r="E497" s="224">
        <f t="shared" si="104"/>
        <v>412</v>
      </c>
      <c r="F497" s="224">
        <f t="shared" si="105"/>
        <v>400</v>
      </c>
      <c r="G497" s="226">
        <f t="shared" si="106"/>
        <v>-12</v>
      </c>
      <c r="H497" s="227"/>
      <c r="I497" s="227"/>
      <c r="J497" s="227">
        <f>+J412</f>
        <v>1193.4344347067597</v>
      </c>
      <c r="K497" s="225">
        <f>+K484</f>
        <v>298.32715639837716</v>
      </c>
      <c r="L497" s="229">
        <f>K497-J497</f>
        <v>-895.10727830838255</v>
      </c>
    </row>
    <row r="498" spans="2:12" ht="15" customHeight="1" x14ac:dyDescent="0.2">
      <c r="B498" s="230" t="s">
        <v>146</v>
      </c>
      <c r="C498" s="231"/>
      <c r="D498" s="232"/>
      <c r="E498" s="224">
        <f t="shared" si="104"/>
        <v>7</v>
      </c>
      <c r="F498" s="224">
        <f t="shared" si="105"/>
        <v>9</v>
      </c>
      <c r="G498" s="226">
        <f t="shared" si="106"/>
        <v>2</v>
      </c>
      <c r="H498" s="227">
        <f>+H413</f>
        <v>32044.999999999996</v>
      </c>
      <c r="I498" s="227">
        <f>+I485</f>
        <v>39489.699999999997</v>
      </c>
      <c r="J498" s="225"/>
      <c r="K498" s="228"/>
      <c r="L498" s="229">
        <f>I498-H498</f>
        <v>7444.7000000000007</v>
      </c>
    </row>
    <row r="499" spans="2:12" ht="15" customHeight="1" x14ac:dyDescent="0.2">
      <c r="B499" s="230" t="s">
        <v>16</v>
      </c>
      <c r="C499" s="231"/>
      <c r="D499" s="232"/>
      <c r="E499" s="225">
        <f>SUM(E492:E498)</f>
        <v>29878</v>
      </c>
      <c r="F499" s="225">
        <f>SUM(F492:F498)</f>
        <v>30104</v>
      </c>
      <c r="G499" s="226">
        <f>SUM(G492:G498)</f>
        <v>226</v>
      </c>
      <c r="H499" s="227">
        <f>I485</f>
        <v>39489.699999999997</v>
      </c>
      <c r="I499" s="227">
        <f>SUM(I492:I498)</f>
        <v>280780453.93842673</v>
      </c>
      <c r="J499" s="227">
        <f>SUM(J492:J498)</f>
        <v>560500.57494787755</v>
      </c>
      <c r="K499" s="227">
        <f>SUM(K492:K498)</f>
        <v>547277.33955122845</v>
      </c>
      <c r="L499" s="229"/>
    </row>
    <row r="504" spans="2:12" ht="15" customHeight="1" x14ac:dyDescent="0.25">
      <c r="B504" s="62" t="s">
        <v>284</v>
      </c>
    </row>
    <row r="505" spans="2:12" ht="32.25" customHeight="1" x14ac:dyDescent="0.25">
      <c r="B505" s="458" t="s">
        <v>241</v>
      </c>
      <c r="C505" s="459"/>
      <c r="D505" s="460"/>
      <c r="E505" s="454" t="s">
        <v>234</v>
      </c>
      <c r="F505" s="464" t="s">
        <v>187</v>
      </c>
      <c r="G505" s="454" t="s">
        <v>235</v>
      </c>
      <c r="H505" s="454"/>
      <c r="I505" s="454" t="s">
        <v>237</v>
      </c>
      <c r="J505" s="454"/>
    </row>
    <row r="506" spans="2:12" ht="10.5" x14ac:dyDescent="0.25">
      <c r="B506" s="461"/>
      <c r="C506" s="462"/>
      <c r="D506" s="463"/>
      <c r="E506" s="454"/>
      <c r="F506" s="464"/>
      <c r="G506" s="344" t="s">
        <v>13</v>
      </c>
      <c r="H506" s="343" t="s">
        <v>236</v>
      </c>
      <c r="I506" s="344" t="s">
        <v>13</v>
      </c>
      <c r="J506" s="343" t="s">
        <v>236</v>
      </c>
    </row>
    <row r="507" spans="2:12" ht="15" customHeight="1" x14ac:dyDescent="0.2">
      <c r="B507" s="230" t="s">
        <v>2</v>
      </c>
      <c r="C507" s="231"/>
      <c r="D507" s="232"/>
      <c r="E507" s="224" t="s">
        <v>129</v>
      </c>
      <c r="F507" s="224">
        <f>+E301</f>
        <v>9728.149261503504</v>
      </c>
      <c r="G507" s="224">
        <f>+F300</f>
        <v>9313.9901903228838</v>
      </c>
      <c r="H507" s="345">
        <f>+(G507-F507)/F507</f>
        <v>-4.2573264456327961E-2</v>
      </c>
      <c r="I507" s="227">
        <f>+F301</f>
        <v>8874.2957236754846</v>
      </c>
      <c r="J507" s="345">
        <f t="shared" ref="J507:J513" si="107">+(I507-F507)/F507</f>
        <v>-8.7771426493928481E-2</v>
      </c>
    </row>
    <row r="508" spans="2:12" ht="15" customHeight="1" x14ac:dyDescent="0.2">
      <c r="B508" s="230" t="s">
        <v>208</v>
      </c>
      <c r="C508" s="231"/>
      <c r="D508" s="232"/>
      <c r="E508" s="224" t="s">
        <v>129</v>
      </c>
      <c r="F508" s="224">
        <f>+E311</f>
        <v>31994.391679160421</v>
      </c>
      <c r="G508" s="224">
        <f>+F311</f>
        <v>31582.844244142278</v>
      </c>
      <c r="H508" s="345">
        <f t="shared" ref="H508:H513" si="108">+(G508-F508)/F508</f>
        <v>-1.2863111733616889E-2</v>
      </c>
      <c r="I508" s="227">
        <f>+F312</f>
        <v>30091.882629262742</v>
      </c>
      <c r="J508" s="345">
        <f t="shared" si="107"/>
        <v>-5.9463829441610543E-2</v>
      </c>
    </row>
    <row r="509" spans="2:12" ht="15" customHeight="1" x14ac:dyDescent="0.2">
      <c r="B509" s="230" t="s">
        <v>209</v>
      </c>
      <c r="C509" s="231"/>
      <c r="D509" s="232"/>
      <c r="E509" s="224" t="s">
        <v>183</v>
      </c>
      <c r="F509" s="224">
        <f>+E324</f>
        <v>2104.7151207105444</v>
      </c>
      <c r="G509" s="224">
        <f>+F324</f>
        <v>2117.707401574804</v>
      </c>
      <c r="H509" s="345">
        <f t="shared" si="108"/>
        <v>6.1729403359222354E-3</v>
      </c>
      <c r="I509" s="227">
        <f>+F325</f>
        <v>2060.9918799362449</v>
      </c>
      <c r="J509" s="345">
        <f t="shared" si="107"/>
        <v>-2.07739471931663E-2</v>
      </c>
    </row>
    <row r="510" spans="2:12" ht="15" customHeight="1" x14ac:dyDescent="0.2">
      <c r="B510" s="230" t="s">
        <v>210</v>
      </c>
      <c r="C510" s="231"/>
      <c r="D510" s="232"/>
      <c r="E510" s="224" t="s">
        <v>183</v>
      </c>
      <c r="F510" s="224">
        <f>+E339</f>
        <v>33801.425697666316</v>
      </c>
      <c r="G510" s="224">
        <f>+F338</f>
        <v>39466.039999999994</v>
      </c>
      <c r="H510" s="345">
        <f t="shared" si="108"/>
        <v>0.16758507031627271</v>
      </c>
      <c r="I510" s="227">
        <f>+F339</f>
        <v>33217.437720696485</v>
      </c>
      <c r="J510" s="345">
        <f t="shared" si="107"/>
        <v>-1.7277022046148487E-2</v>
      </c>
    </row>
    <row r="511" spans="2:12" ht="15" customHeight="1" x14ac:dyDescent="0.2">
      <c r="B511" s="230" t="s">
        <v>142</v>
      </c>
      <c r="C511" s="231"/>
      <c r="D511" s="232"/>
      <c r="E511" s="224" t="s">
        <v>183</v>
      </c>
      <c r="F511" s="349">
        <f>+E355</f>
        <v>1.0409817309466691</v>
      </c>
      <c r="G511" s="349">
        <f>+F355</f>
        <v>1.049478052379196</v>
      </c>
      <c r="H511" s="345">
        <f t="shared" si="108"/>
        <v>8.1618352944583562E-3</v>
      </c>
      <c r="I511" s="350">
        <f>+F356</f>
        <v>1.0009143670184275</v>
      </c>
      <c r="J511" s="345">
        <f t="shared" si="107"/>
        <v>-3.8489978005477911E-2</v>
      </c>
    </row>
    <row r="512" spans="2:12" ht="15" customHeight="1" x14ac:dyDescent="0.2">
      <c r="B512" s="230" t="s">
        <v>143</v>
      </c>
      <c r="C512" s="231"/>
      <c r="D512" s="232"/>
      <c r="E512" s="224" t="s">
        <v>183</v>
      </c>
      <c r="F512" s="349">
        <f>+E370</f>
        <v>2.8966855211329121</v>
      </c>
      <c r="G512" s="349">
        <f>+F370</f>
        <v>2.5714925373134361</v>
      </c>
      <c r="H512" s="345">
        <f t="shared" si="108"/>
        <v>-0.11226382064846686</v>
      </c>
      <c r="I512" s="350">
        <f>+F371</f>
        <v>2.4087120145724916</v>
      </c>
      <c r="J512" s="345">
        <f t="shared" si="107"/>
        <v>-0.16845926249169463</v>
      </c>
    </row>
    <row r="513" spans="2:11" ht="15" customHeight="1" x14ac:dyDescent="0.2">
      <c r="B513" s="230" t="s">
        <v>146</v>
      </c>
      <c r="C513" s="231"/>
      <c r="D513" s="232"/>
      <c r="E513" s="224" t="s">
        <v>129</v>
      </c>
      <c r="F513" s="224">
        <f>+E383</f>
        <v>4577.8571428571422</v>
      </c>
      <c r="G513" s="224">
        <f>+F383</f>
        <v>4293.3589999999995</v>
      </c>
      <c r="H513" s="345">
        <f t="shared" si="108"/>
        <v>-6.2146575128725214E-2</v>
      </c>
      <c r="I513" s="227">
        <f>+F384</f>
        <v>4090.6782845326188</v>
      </c>
      <c r="J513" s="345">
        <f t="shared" si="107"/>
        <v>-0.10642072111941533</v>
      </c>
    </row>
    <row r="514" spans="2:11" ht="15" customHeight="1" x14ac:dyDescent="0.25">
      <c r="B514" s="62" t="s">
        <v>285</v>
      </c>
    </row>
    <row r="515" spans="2:11" ht="15" customHeight="1" x14ac:dyDescent="0.25">
      <c r="B515" s="458" t="s">
        <v>241</v>
      </c>
      <c r="C515" s="459"/>
      <c r="D515" s="460"/>
      <c r="E515" s="454" t="s">
        <v>234</v>
      </c>
      <c r="F515" s="451" t="s">
        <v>238</v>
      </c>
      <c r="G515" s="452"/>
      <c r="H515" s="453"/>
      <c r="I515" s="451" t="s">
        <v>239</v>
      </c>
      <c r="J515" s="452"/>
      <c r="K515" s="453"/>
    </row>
    <row r="516" spans="2:11" ht="15" customHeight="1" x14ac:dyDescent="0.25">
      <c r="B516" s="461"/>
      <c r="C516" s="462"/>
      <c r="D516" s="463"/>
      <c r="E516" s="454"/>
      <c r="F516" s="343">
        <v>2015</v>
      </c>
      <c r="G516" s="343">
        <v>2016</v>
      </c>
      <c r="H516" s="343" t="s">
        <v>236</v>
      </c>
      <c r="I516" s="343">
        <v>2015</v>
      </c>
      <c r="J516" s="343">
        <v>2016</v>
      </c>
      <c r="K516" s="343" t="s">
        <v>236</v>
      </c>
    </row>
    <row r="517" spans="2:11" ht="15" customHeight="1" x14ac:dyDescent="0.2">
      <c r="B517" s="230" t="s">
        <v>2</v>
      </c>
      <c r="C517" s="231"/>
      <c r="D517" s="232"/>
      <c r="E517" s="224" t="s">
        <v>129</v>
      </c>
      <c r="F517" s="224">
        <f>+G507</f>
        <v>9313.9901903228838</v>
      </c>
      <c r="G517" s="224">
        <f>+G300</f>
        <v>8888.429675057876</v>
      </c>
      <c r="H517" s="345">
        <f>+(G517-F517)/F517</f>
        <v>-4.5690462043556763E-2</v>
      </c>
      <c r="I517" s="224">
        <f>+I507</f>
        <v>8874.2957236754846</v>
      </c>
      <c r="J517" s="224">
        <f>+G301</f>
        <v>8971.9627990917597</v>
      </c>
      <c r="K517" s="345">
        <f>+(J517-I517)/I517</f>
        <v>1.100561424336039E-2</v>
      </c>
    </row>
    <row r="518" spans="2:11" ht="15" customHeight="1" x14ac:dyDescent="0.2">
      <c r="B518" s="230" t="s">
        <v>208</v>
      </c>
      <c r="C518" s="231"/>
      <c r="D518" s="232"/>
      <c r="E518" s="224" t="s">
        <v>129</v>
      </c>
      <c r="F518" s="224">
        <f t="shared" ref="F518:F523" si="109">+G508</f>
        <v>31582.844244142278</v>
      </c>
      <c r="G518" s="224">
        <f>+G311</f>
        <v>30328.357472734187</v>
      </c>
      <c r="H518" s="345">
        <f t="shared" ref="H518:H523" si="110">+(G518-F518)/F518</f>
        <v>-3.9720512874351459E-2</v>
      </c>
      <c r="I518" s="224">
        <f t="shared" ref="I518:I523" si="111">+I508</f>
        <v>30091.882629262742</v>
      </c>
      <c r="J518" s="224">
        <f>+G312</f>
        <v>30613.382222789085</v>
      </c>
      <c r="K518" s="345">
        <f t="shared" ref="K518:K523" si="112">+(J518-I518)/I518</f>
        <v>1.7330241512347681E-2</v>
      </c>
    </row>
    <row r="519" spans="2:11" ht="15" customHeight="1" x14ac:dyDescent="0.2">
      <c r="B519" s="230" t="s">
        <v>209</v>
      </c>
      <c r="C519" s="231"/>
      <c r="D519" s="232"/>
      <c r="E519" s="224" t="s">
        <v>183</v>
      </c>
      <c r="F519" s="224">
        <f t="shared" si="109"/>
        <v>2117.707401574804</v>
      </c>
      <c r="G519" s="224">
        <f>+G324</f>
        <v>2092.3334387351783</v>
      </c>
      <c r="H519" s="345">
        <f t="shared" si="110"/>
        <v>-1.1981807694848032E-2</v>
      </c>
      <c r="I519" s="224">
        <f t="shared" si="111"/>
        <v>2060.9918799362449</v>
      </c>
      <c r="J519" s="224">
        <f>+G325</f>
        <v>2036.374892087558</v>
      </c>
      <c r="K519" s="345">
        <f t="shared" si="112"/>
        <v>-1.1944243006648047E-2</v>
      </c>
    </row>
    <row r="520" spans="2:11" ht="15" customHeight="1" x14ac:dyDescent="0.2">
      <c r="B520" s="230" t="s">
        <v>210</v>
      </c>
      <c r="C520" s="231"/>
      <c r="D520" s="232"/>
      <c r="E520" s="224" t="s">
        <v>183</v>
      </c>
      <c r="F520" s="224">
        <f t="shared" si="109"/>
        <v>39466.039999999994</v>
      </c>
      <c r="G520" s="224">
        <f>+G340</f>
        <v>35717.369999999995</v>
      </c>
      <c r="H520" s="345">
        <f t="shared" si="110"/>
        <v>-9.498470077058653E-2</v>
      </c>
      <c r="I520" s="224">
        <f t="shared" si="111"/>
        <v>33217.437720696485</v>
      </c>
      <c r="J520" s="224">
        <f>+G341</f>
        <v>33339.641454058015</v>
      </c>
      <c r="K520" s="345">
        <f t="shared" si="112"/>
        <v>3.6789030625739541E-3</v>
      </c>
    </row>
    <row r="521" spans="2:11" ht="15" customHeight="1" x14ac:dyDescent="0.2">
      <c r="B521" s="230" t="s">
        <v>142</v>
      </c>
      <c r="C521" s="231"/>
      <c r="D521" s="232"/>
      <c r="E521" s="224" t="s">
        <v>183</v>
      </c>
      <c r="F521" s="349">
        <f t="shared" si="109"/>
        <v>1.049478052379196</v>
      </c>
      <c r="G521" s="349">
        <f>+G355</f>
        <v>1.0490929203539823</v>
      </c>
      <c r="H521" s="345">
        <f t="shared" si="110"/>
        <v>-3.6697482557222153E-4</v>
      </c>
      <c r="I521" s="349">
        <f t="shared" si="111"/>
        <v>1.0009143670184275</v>
      </c>
      <c r="J521" s="349">
        <f>+G356</f>
        <v>1.0631805969492709</v>
      </c>
      <c r="K521" s="345">
        <f t="shared" si="112"/>
        <v>6.2209347755018331E-2</v>
      </c>
    </row>
    <row r="522" spans="2:11" ht="15" customHeight="1" x14ac:dyDescent="0.2">
      <c r="B522" s="230" t="s">
        <v>143</v>
      </c>
      <c r="C522" s="231"/>
      <c r="D522" s="232"/>
      <c r="E522" s="224" t="s">
        <v>183</v>
      </c>
      <c r="F522" s="349">
        <f t="shared" si="109"/>
        <v>2.5714925373134361</v>
      </c>
      <c r="G522" s="349">
        <f>+G370</f>
        <v>0.91468468468468334</v>
      </c>
      <c r="H522" s="345">
        <f t="shared" si="110"/>
        <v>-0.64429813759432519</v>
      </c>
      <c r="I522" s="349">
        <f t="shared" si="111"/>
        <v>2.4087120145724916</v>
      </c>
      <c r="J522" s="349">
        <f>+G371</f>
        <v>0.96581547628047837</v>
      </c>
      <c r="K522" s="345">
        <f t="shared" si="112"/>
        <v>-0.59903239970682209</v>
      </c>
    </row>
    <row r="523" spans="2:11" ht="15" customHeight="1" x14ac:dyDescent="0.2">
      <c r="B523" s="230" t="s">
        <v>146</v>
      </c>
      <c r="C523" s="231"/>
      <c r="D523" s="232"/>
      <c r="E523" s="224" t="s">
        <v>129</v>
      </c>
      <c r="F523" s="224">
        <f t="shared" si="109"/>
        <v>4293.3589999999995</v>
      </c>
      <c r="G523" s="224">
        <f>+G383</f>
        <v>4293.3559999999989</v>
      </c>
      <c r="H523" s="345">
        <f t="shared" si="110"/>
        <v>-6.9875358678628572E-7</v>
      </c>
      <c r="I523" s="224">
        <f t="shared" si="111"/>
        <v>4090.6782845326188</v>
      </c>
      <c r="J523" s="224">
        <f>+G384</f>
        <v>4333.7047963994355</v>
      </c>
      <c r="K523" s="345">
        <f t="shared" si="112"/>
        <v>5.9409832541887052E-2</v>
      </c>
    </row>
    <row r="524" spans="2:11" ht="15" customHeight="1" x14ac:dyDescent="0.25">
      <c r="B524" s="62" t="s">
        <v>286</v>
      </c>
    </row>
    <row r="525" spans="2:11" ht="15" customHeight="1" x14ac:dyDescent="0.25">
      <c r="B525" s="458" t="s">
        <v>241</v>
      </c>
      <c r="C525" s="459"/>
      <c r="D525" s="460"/>
      <c r="E525" s="454" t="s">
        <v>234</v>
      </c>
      <c r="F525" s="451" t="s">
        <v>238</v>
      </c>
      <c r="G525" s="452"/>
      <c r="H525" s="453"/>
      <c r="I525" s="451" t="s">
        <v>239</v>
      </c>
      <c r="J525" s="452"/>
      <c r="K525" s="453"/>
    </row>
    <row r="526" spans="2:11" ht="15" customHeight="1" x14ac:dyDescent="0.25">
      <c r="B526" s="461"/>
      <c r="C526" s="462"/>
      <c r="D526" s="463"/>
      <c r="E526" s="454"/>
      <c r="F526" s="343">
        <v>2016</v>
      </c>
      <c r="G526" s="343">
        <v>2017</v>
      </c>
      <c r="H526" s="343" t="s">
        <v>236</v>
      </c>
      <c r="I526" s="343">
        <v>2016</v>
      </c>
      <c r="J526" s="343">
        <v>2017</v>
      </c>
      <c r="K526" s="343" t="s">
        <v>236</v>
      </c>
    </row>
    <row r="527" spans="2:11" ht="15" customHeight="1" x14ac:dyDescent="0.2">
      <c r="B527" s="230" t="s">
        <v>2</v>
      </c>
      <c r="C527" s="231"/>
      <c r="D527" s="232"/>
      <c r="E527" s="224" t="s">
        <v>129</v>
      </c>
      <c r="F527" s="224">
        <f>+G517</f>
        <v>8888.429675057876</v>
      </c>
      <c r="G527" s="224">
        <f>+H300</f>
        <v>8708.3155497357602</v>
      </c>
      <c r="H527" s="345">
        <f>+(G527-F527)/F527</f>
        <v>-2.0263885962617238E-2</v>
      </c>
      <c r="I527" s="224">
        <f>+J517</f>
        <v>8971.9627990917597</v>
      </c>
      <c r="J527" s="224">
        <f>+H301</f>
        <v>8920.7058828211375</v>
      </c>
      <c r="K527" s="345">
        <f>+(J527-I527)/I527</f>
        <v>-5.7130103432674762E-3</v>
      </c>
    </row>
    <row r="528" spans="2:11" ht="15" customHeight="1" x14ac:dyDescent="0.2">
      <c r="B528" s="230" t="s">
        <v>208</v>
      </c>
      <c r="C528" s="231"/>
      <c r="D528" s="232"/>
      <c r="E528" s="224" t="s">
        <v>129</v>
      </c>
      <c r="F528" s="224">
        <f t="shared" ref="F528:F533" si="113">+G518</f>
        <v>30328.357472734187</v>
      </c>
      <c r="G528" s="224">
        <f>+H311</f>
        <v>29692.660147003433</v>
      </c>
      <c r="H528" s="345">
        <f t="shared" ref="H528:H533" si="114">+(G528-F528)/F528</f>
        <v>-2.0960493040292717E-2</v>
      </c>
      <c r="I528" s="224">
        <f t="shared" ref="I528:I533" si="115">+J518</f>
        <v>30613.382222789085</v>
      </c>
      <c r="J528" s="224">
        <f>+H312</f>
        <v>30416.845432067468</v>
      </c>
      <c r="K528" s="345">
        <f t="shared" ref="K528:K533" si="116">+(J528-I528)/I528</f>
        <v>-6.4199633118392175E-3</v>
      </c>
    </row>
    <row r="529" spans="2:11" ht="15" customHeight="1" x14ac:dyDescent="0.2">
      <c r="B529" s="230" t="s">
        <v>209</v>
      </c>
      <c r="C529" s="231"/>
      <c r="D529" s="232"/>
      <c r="E529" s="224" t="s">
        <v>183</v>
      </c>
      <c r="F529" s="224">
        <f t="shared" si="113"/>
        <v>2092.3334387351783</v>
      </c>
      <c r="G529" s="224">
        <f>+H324</f>
        <v>2025.8281226053637</v>
      </c>
      <c r="H529" s="345">
        <f t="shared" si="114"/>
        <v>-3.1785237906448278E-2</v>
      </c>
      <c r="I529" s="224">
        <f t="shared" si="115"/>
        <v>2036.374892087558</v>
      </c>
      <c r="J529" s="224">
        <f>+H325</f>
        <v>1997.9457665244524</v>
      </c>
      <c r="K529" s="345">
        <f t="shared" si="116"/>
        <v>-1.8871341280244598E-2</v>
      </c>
    </row>
    <row r="530" spans="2:11" ht="15" customHeight="1" x14ac:dyDescent="0.2">
      <c r="B530" s="230" t="s">
        <v>210</v>
      </c>
      <c r="C530" s="231"/>
      <c r="D530" s="232"/>
      <c r="E530" s="224" t="s">
        <v>183</v>
      </c>
      <c r="F530" s="224">
        <f t="shared" si="113"/>
        <v>35717.369999999995</v>
      </c>
      <c r="G530" s="224">
        <f>+H340</f>
        <v>30516.22</v>
      </c>
      <c r="H530" s="345">
        <f t="shared" si="114"/>
        <v>-0.14561962428924624</v>
      </c>
      <c r="I530" s="224">
        <f t="shared" si="115"/>
        <v>33339.641454058015</v>
      </c>
      <c r="J530" s="224">
        <f>+H341</f>
        <v>33265.590319929914</v>
      </c>
      <c r="K530" s="345">
        <f t="shared" si="116"/>
        <v>-2.2211136922436333E-3</v>
      </c>
    </row>
    <row r="531" spans="2:11" ht="15" customHeight="1" x14ac:dyDescent="0.2">
      <c r="B531" s="230" t="s">
        <v>142</v>
      </c>
      <c r="C531" s="231"/>
      <c r="D531" s="232"/>
      <c r="E531" s="224" t="s">
        <v>183</v>
      </c>
      <c r="F531" s="349">
        <f t="shared" si="113"/>
        <v>1.0490929203539823</v>
      </c>
      <c r="G531" s="349">
        <f>+H355</f>
        <v>1.0490929203539823</v>
      </c>
      <c r="H531" s="345">
        <f t="shared" si="114"/>
        <v>0</v>
      </c>
      <c r="I531" s="349">
        <f t="shared" si="115"/>
        <v>1.0631805969492709</v>
      </c>
      <c r="J531" s="349">
        <f>+H356</f>
        <v>1.075731034668624</v>
      </c>
      <c r="K531" s="345">
        <f t="shared" si="116"/>
        <v>1.1804615091138542E-2</v>
      </c>
    </row>
    <row r="532" spans="2:11" ht="15" customHeight="1" x14ac:dyDescent="0.2">
      <c r="B532" s="230" t="s">
        <v>143</v>
      </c>
      <c r="C532" s="231"/>
      <c r="D532" s="232"/>
      <c r="E532" s="224" t="s">
        <v>183</v>
      </c>
      <c r="F532" s="349">
        <f t="shared" si="113"/>
        <v>0.91468468468468334</v>
      </c>
      <c r="G532" s="349">
        <f>+H370</f>
        <v>0.75628440366972349</v>
      </c>
      <c r="H532" s="345">
        <f t="shared" si="114"/>
        <v>-0.17317473842864739</v>
      </c>
      <c r="I532" s="349">
        <f t="shared" si="115"/>
        <v>0.96581547628047837</v>
      </c>
      <c r="J532" s="349">
        <f>+H371</f>
        <v>0.8243364056361111</v>
      </c>
      <c r="K532" s="345">
        <f t="shared" si="116"/>
        <v>-0.14648664689991045</v>
      </c>
    </row>
    <row r="533" spans="2:11" ht="15" customHeight="1" x14ac:dyDescent="0.2">
      <c r="B533" s="230" t="s">
        <v>146</v>
      </c>
      <c r="C533" s="231"/>
      <c r="D533" s="232"/>
      <c r="E533" s="224" t="s">
        <v>129</v>
      </c>
      <c r="F533" s="224">
        <f t="shared" si="113"/>
        <v>4293.3559999999989</v>
      </c>
      <c r="G533" s="224">
        <f>+H383</f>
        <v>4293.3589999999986</v>
      </c>
      <c r="H533" s="345">
        <f t="shared" si="114"/>
        <v>6.9875407483136426E-7</v>
      </c>
      <c r="I533" s="224">
        <f t="shared" si="115"/>
        <v>4333.7047963994355</v>
      </c>
      <c r="J533" s="224">
        <f>+H384</f>
        <v>4398.0713227054821</v>
      </c>
      <c r="K533" s="345">
        <f t="shared" si="116"/>
        <v>1.4852540569797026E-2</v>
      </c>
    </row>
    <row r="534" spans="2:11" ht="15" customHeight="1" x14ac:dyDescent="0.25">
      <c r="B534" s="62" t="s">
        <v>287</v>
      </c>
    </row>
    <row r="535" spans="2:11" ht="15" customHeight="1" x14ac:dyDescent="0.25">
      <c r="B535" s="458" t="s">
        <v>241</v>
      </c>
      <c r="C535" s="459"/>
      <c r="D535" s="460"/>
      <c r="E535" s="454" t="s">
        <v>234</v>
      </c>
      <c r="F535" s="451" t="s">
        <v>238</v>
      </c>
      <c r="G535" s="452"/>
      <c r="H535" s="453"/>
      <c r="I535" s="451" t="s">
        <v>239</v>
      </c>
      <c r="J535" s="452"/>
      <c r="K535" s="453"/>
    </row>
    <row r="536" spans="2:11" ht="15" customHeight="1" x14ac:dyDescent="0.25">
      <c r="B536" s="461"/>
      <c r="C536" s="462"/>
      <c r="D536" s="463"/>
      <c r="E536" s="454"/>
      <c r="F536" s="343">
        <v>2017</v>
      </c>
      <c r="G536" s="343">
        <v>2018</v>
      </c>
      <c r="H536" s="343" t="s">
        <v>236</v>
      </c>
      <c r="I536" s="343">
        <v>2017</v>
      </c>
      <c r="J536" s="343">
        <v>2018</v>
      </c>
      <c r="K536" s="343" t="s">
        <v>236</v>
      </c>
    </row>
    <row r="537" spans="2:11" ht="15" customHeight="1" x14ac:dyDescent="0.2">
      <c r="B537" s="230" t="s">
        <v>2</v>
      </c>
      <c r="C537" s="231"/>
      <c r="D537" s="232"/>
      <c r="E537" s="224" t="s">
        <v>129</v>
      </c>
      <c r="F537" s="224">
        <f>+G527</f>
        <v>8708.3155497357602</v>
      </c>
      <c r="G537" s="224">
        <f>+I300</f>
        <v>9269.5901808846193</v>
      </c>
      <c r="H537" s="345">
        <f>+(G537-F537)/F537</f>
        <v>6.4452720844031655E-2</v>
      </c>
      <c r="I537" s="224">
        <f>+J527</f>
        <v>8920.7058828211375</v>
      </c>
      <c r="J537" s="224">
        <f>+I301</f>
        <v>9233.9529521817858</v>
      </c>
      <c r="K537" s="345">
        <f>+(J537-I537)/I537</f>
        <v>3.5114605668580254E-2</v>
      </c>
    </row>
    <row r="538" spans="2:11" ht="15" customHeight="1" x14ac:dyDescent="0.2">
      <c r="B538" s="230" t="s">
        <v>208</v>
      </c>
      <c r="C538" s="231"/>
      <c r="D538" s="232"/>
      <c r="E538" s="224" t="s">
        <v>129</v>
      </c>
      <c r="F538" s="224">
        <f t="shared" ref="F538:F543" si="117">+G528</f>
        <v>29692.660147003433</v>
      </c>
      <c r="G538" s="224">
        <f>+I311</f>
        <v>30826.707611152993</v>
      </c>
      <c r="H538" s="345">
        <f t="shared" ref="H538:H543" si="118">+(G538-F538)/F538</f>
        <v>3.8192855019896478E-2</v>
      </c>
      <c r="I538" s="224">
        <f t="shared" ref="I538:I543" si="119">+J528</f>
        <v>30416.845432067468</v>
      </c>
      <c r="J538" s="224">
        <f>+I312</f>
        <v>30708.193371811598</v>
      </c>
      <c r="K538" s="345">
        <f t="shared" ref="K538:K543" si="120">+(J538-I538)/I538</f>
        <v>9.5785061075719328E-3</v>
      </c>
    </row>
    <row r="539" spans="2:11" ht="15" customHeight="1" x14ac:dyDescent="0.2">
      <c r="B539" s="230" t="s">
        <v>209</v>
      </c>
      <c r="C539" s="231"/>
      <c r="D539" s="232"/>
      <c r="E539" s="224" t="s">
        <v>183</v>
      </c>
      <c r="F539" s="224">
        <f t="shared" si="117"/>
        <v>2025.8281226053637</v>
      </c>
      <c r="G539" s="224">
        <f>+I324</f>
        <v>2024.2144186046512</v>
      </c>
      <c r="H539" s="345">
        <f t="shared" si="118"/>
        <v>-7.9656510969801223E-4</v>
      </c>
      <c r="I539" s="224">
        <f t="shared" si="119"/>
        <v>1997.9457665244524</v>
      </c>
      <c r="J539" s="224">
        <f>+I325</f>
        <v>1962.0615436664664</v>
      </c>
      <c r="K539" s="345">
        <f t="shared" si="120"/>
        <v>-1.7960559019782021E-2</v>
      </c>
    </row>
    <row r="540" spans="2:11" ht="15" customHeight="1" x14ac:dyDescent="0.2">
      <c r="B540" s="230" t="s">
        <v>210</v>
      </c>
      <c r="C540" s="231"/>
      <c r="D540" s="232"/>
      <c r="E540" s="224" t="s">
        <v>183</v>
      </c>
      <c r="F540" s="224">
        <f t="shared" si="117"/>
        <v>30516.22</v>
      </c>
      <c r="G540" s="224">
        <f>+I340</f>
        <v>30271.190000000002</v>
      </c>
      <c r="H540" s="345">
        <f t="shared" si="118"/>
        <v>-8.0295003771764274E-3</v>
      </c>
      <c r="I540" s="224">
        <f t="shared" si="119"/>
        <v>33265.590319929914</v>
      </c>
      <c r="J540" s="224">
        <f>+I341</f>
        <v>31688.883194608377</v>
      </c>
      <c r="K540" s="345">
        <f t="shared" si="120"/>
        <v>-4.7397539323897328E-2</v>
      </c>
    </row>
    <row r="541" spans="2:11" ht="15" customHeight="1" x14ac:dyDescent="0.2">
      <c r="B541" s="230" t="s">
        <v>142</v>
      </c>
      <c r="C541" s="231"/>
      <c r="D541" s="232"/>
      <c r="E541" s="224" t="s">
        <v>183</v>
      </c>
      <c r="F541" s="349">
        <f t="shared" si="117"/>
        <v>1.0490929203539823</v>
      </c>
      <c r="G541" s="349">
        <f>+I355</f>
        <v>1.0490929203539823</v>
      </c>
      <c r="H541" s="345">
        <f t="shared" si="118"/>
        <v>0</v>
      </c>
      <c r="I541" s="349">
        <f t="shared" si="119"/>
        <v>1.075731034668624</v>
      </c>
      <c r="J541" s="349">
        <f>+I356</f>
        <v>1.0436299038826236</v>
      </c>
      <c r="K541" s="345">
        <f t="shared" si="120"/>
        <v>-2.9841224015526406E-2</v>
      </c>
    </row>
    <row r="542" spans="2:11" ht="15" customHeight="1" x14ac:dyDescent="0.2">
      <c r="B542" s="230" t="s">
        <v>143</v>
      </c>
      <c r="C542" s="231"/>
      <c r="D542" s="232"/>
      <c r="E542" s="224" t="s">
        <v>183</v>
      </c>
      <c r="F542" s="349">
        <f t="shared" si="117"/>
        <v>0.75628440366972349</v>
      </c>
      <c r="G542" s="349">
        <f>+I370</f>
        <v>0.74287058823529295</v>
      </c>
      <c r="H542" s="345">
        <f t="shared" si="118"/>
        <v>-1.7736469731945554E-2</v>
      </c>
      <c r="I542" s="349">
        <f t="shared" si="119"/>
        <v>0.8243364056361111</v>
      </c>
      <c r="J542" s="349">
        <f>+I371</f>
        <v>0.79450527805299598</v>
      </c>
      <c r="K542" s="345">
        <f t="shared" si="120"/>
        <v>-3.6188050629761409E-2</v>
      </c>
    </row>
    <row r="543" spans="2:11" ht="15" customHeight="1" x14ac:dyDescent="0.2">
      <c r="B543" s="230" t="s">
        <v>146</v>
      </c>
      <c r="C543" s="231"/>
      <c r="D543" s="232"/>
      <c r="E543" s="224" t="s">
        <v>129</v>
      </c>
      <c r="F543" s="224">
        <f t="shared" si="117"/>
        <v>4293.3589999999986</v>
      </c>
      <c r="G543" s="224">
        <f>+I383</f>
        <v>4207.2619999999988</v>
      </c>
      <c r="H543" s="345">
        <f t="shared" si="118"/>
        <v>-2.005352918309412E-2</v>
      </c>
      <c r="I543" s="224">
        <f t="shared" si="119"/>
        <v>4398.0713227054821</v>
      </c>
      <c r="J543" s="224">
        <f>+I384</f>
        <v>4191.0870499557213</v>
      </c>
      <c r="K543" s="345">
        <f t="shared" si="120"/>
        <v>-4.7062509350674644E-2</v>
      </c>
    </row>
    <row r="544" spans="2:11" ht="15" customHeight="1" x14ac:dyDescent="0.2">
      <c r="B544" s="62" t="s">
        <v>288</v>
      </c>
      <c r="C544" s="346"/>
      <c r="D544" s="346"/>
      <c r="E544" s="347"/>
      <c r="F544" s="347"/>
      <c r="G544" s="347"/>
      <c r="H544" s="348"/>
      <c r="I544" s="347"/>
      <c r="J544" s="347"/>
      <c r="K544" s="348"/>
    </row>
    <row r="545" spans="2:11" ht="15" customHeight="1" x14ac:dyDescent="0.25">
      <c r="B545" s="458" t="s">
        <v>241</v>
      </c>
      <c r="C545" s="459"/>
      <c r="D545" s="460"/>
      <c r="E545" s="454" t="s">
        <v>234</v>
      </c>
      <c r="F545" s="451" t="s">
        <v>238</v>
      </c>
      <c r="G545" s="452"/>
      <c r="H545" s="453"/>
      <c r="I545" s="451" t="s">
        <v>239</v>
      </c>
      <c r="J545" s="452"/>
      <c r="K545" s="453"/>
    </row>
    <row r="546" spans="2:11" ht="15" customHeight="1" x14ac:dyDescent="0.25">
      <c r="B546" s="461"/>
      <c r="C546" s="462"/>
      <c r="D546" s="463"/>
      <c r="E546" s="454"/>
      <c r="F546" s="343">
        <v>2018</v>
      </c>
      <c r="G546" s="343">
        <v>2019</v>
      </c>
      <c r="H546" s="343" t="s">
        <v>236</v>
      </c>
      <c r="I546" s="343">
        <v>2018</v>
      </c>
      <c r="J546" s="343">
        <v>2019</v>
      </c>
      <c r="K546" s="343" t="s">
        <v>236</v>
      </c>
    </row>
    <row r="547" spans="2:11" ht="15" customHeight="1" x14ac:dyDescent="0.2">
      <c r="B547" s="230" t="s">
        <v>2</v>
      </c>
      <c r="C547" s="231"/>
      <c r="D547" s="232"/>
      <c r="E547" s="224" t="s">
        <v>129</v>
      </c>
      <c r="F547" s="224">
        <f>+G537</f>
        <v>9269.5901808846193</v>
      </c>
      <c r="G547" s="224">
        <f>+J300</f>
        <v>9297.3222626879651</v>
      </c>
      <c r="H547" s="345">
        <f>+(G547-F547)/F547</f>
        <v>2.9917268468388023E-3</v>
      </c>
      <c r="I547" s="224">
        <f>+J537</f>
        <v>9233.9529521817858</v>
      </c>
      <c r="J547" s="224">
        <f>+J301</f>
        <v>9274.9397445920149</v>
      </c>
      <c r="K547" s="345">
        <f>+(J547-I547)/I547</f>
        <v>4.4387049211188365E-3</v>
      </c>
    </row>
    <row r="548" spans="2:11" ht="15" customHeight="1" x14ac:dyDescent="0.2">
      <c r="B548" s="230" t="s">
        <v>208</v>
      </c>
      <c r="C548" s="231"/>
      <c r="D548" s="232"/>
      <c r="E548" s="224" t="s">
        <v>129</v>
      </c>
      <c r="F548" s="224">
        <f t="shared" ref="F548:F553" si="121">+G538</f>
        <v>30826.707611152993</v>
      </c>
      <c r="G548" s="224">
        <f>+J311</f>
        <v>30309.170784018093</v>
      </c>
      <c r="H548" s="345">
        <f t="shared" ref="H548:H553" si="122">+(G548-F548)/F548</f>
        <v>-1.6788585847800911E-2</v>
      </c>
      <c r="I548" s="224">
        <f t="shared" ref="I548:I553" si="123">+J538</f>
        <v>30708.193371811598</v>
      </c>
      <c r="J548" s="224">
        <f>+J312</f>
        <v>30236.20401526694</v>
      </c>
      <c r="K548" s="345">
        <f t="shared" ref="K548:K553" si="124">+(J548-I548)/I548</f>
        <v>-1.5370144079459849E-2</v>
      </c>
    </row>
    <row r="549" spans="2:11" ht="15" customHeight="1" x14ac:dyDescent="0.2">
      <c r="B549" s="230" t="s">
        <v>209</v>
      </c>
      <c r="C549" s="231"/>
      <c r="D549" s="232"/>
      <c r="E549" s="224" t="s">
        <v>183</v>
      </c>
      <c r="F549" s="224">
        <f t="shared" si="121"/>
        <v>2024.2144186046512</v>
      </c>
      <c r="G549" s="224">
        <f>+J324</f>
        <v>1989.7125855513307</v>
      </c>
      <c r="H549" s="345">
        <f t="shared" si="122"/>
        <v>-1.7044554537410925E-2</v>
      </c>
      <c r="I549" s="224">
        <f t="shared" si="123"/>
        <v>1962.0615436664664</v>
      </c>
      <c r="J549" s="224">
        <f>+J325</f>
        <v>1927.0997537478077</v>
      </c>
      <c r="K549" s="345">
        <f t="shared" si="124"/>
        <v>-1.7818905850081699E-2</v>
      </c>
    </row>
    <row r="550" spans="2:11" ht="15" customHeight="1" x14ac:dyDescent="0.2">
      <c r="B550" s="230" t="s">
        <v>210</v>
      </c>
      <c r="C550" s="231"/>
      <c r="D550" s="232"/>
      <c r="E550" s="224" t="s">
        <v>183</v>
      </c>
      <c r="F550" s="224">
        <f t="shared" si="121"/>
        <v>30271.190000000002</v>
      </c>
      <c r="G550" s="224">
        <f>+J340</f>
        <v>29275.15</v>
      </c>
      <c r="H550" s="345">
        <f t="shared" si="122"/>
        <v>-3.2903893107604977E-2</v>
      </c>
      <c r="I550" s="224">
        <f t="shared" si="123"/>
        <v>31688.883194608377</v>
      </c>
      <c r="J550" s="224">
        <f>+J341</f>
        <v>30101.845140953283</v>
      </c>
      <c r="K550" s="345">
        <f t="shared" si="124"/>
        <v>-5.0081855012331804E-2</v>
      </c>
    </row>
    <row r="551" spans="2:11" ht="15" customHeight="1" x14ac:dyDescent="0.2">
      <c r="B551" s="230" t="s">
        <v>142</v>
      </c>
      <c r="C551" s="231"/>
      <c r="D551" s="232"/>
      <c r="E551" s="224" t="s">
        <v>183</v>
      </c>
      <c r="F551" s="349">
        <f t="shared" si="121"/>
        <v>1.0490929203539823</v>
      </c>
      <c r="G551" s="349">
        <f>+J355</f>
        <v>1.0490929203539823</v>
      </c>
      <c r="H551" s="345">
        <f t="shared" si="122"/>
        <v>0</v>
      </c>
      <c r="I551" s="349">
        <f t="shared" si="123"/>
        <v>1.0436299038826236</v>
      </c>
      <c r="J551" s="349">
        <f>+J356</f>
        <v>1.0475912129877067</v>
      </c>
      <c r="K551" s="345">
        <f t="shared" si="124"/>
        <v>3.7957029501990147E-3</v>
      </c>
    </row>
    <row r="552" spans="2:11" ht="15" customHeight="1" x14ac:dyDescent="0.2">
      <c r="B552" s="230" t="s">
        <v>143</v>
      </c>
      <c r="C552" s="231"/>
      <c r="D552" s="232"/>
      <c r="E552" s="224" t="s">
        <v>183</v>
      </c>
      <c r="F552" s="349">
        <f t="shared" si="121"/>
        <v>0.74287058823529295</v>
      </c>
      <c r="G552" s="349">
        <f>+J370</f>
        <v>0.74422062350119911</v>
      </c>
      <c r="H552" s="345">
        <f t="shared" si="122"/>
        <v>1.817322272932085E-3</v>
      </c>
      <c r="I552" s="349">
        <f t="shared" si="123"/>
        <v>0.79450527805299598</v>
      </c>
      <c r="J552" s="349">
        <f>+J371</f>
        <v>0.79607101788641943</v>
      </c>
      <c r="K552" s="345">
        <f t="shared" si="124"/>
        <v>1.9707104240521008E-3</v>
      </c>
    </row>
    <row r="553" spans="2:11" ht="15" customHeight="1" x14ac:dyDescent="0.2">
      <c r="B553" s="230" t="s">
        <v>146</v>
      </c>
      <c r="C553" s="231"/>
      <c r="D553" s="232"/>
      <c r="E553" s="224" t="s">
        <v>129</v>
      </c>
      <c r="F553" s="224">
        <f t="shared" si="121"/>
        <v>4207.2619999999988</v>
      </c>
      <c r="G553" s="224">
        <f>+J383</f>
        <v>4387.7444444444445</v>
      </c>
      <c r="H553" s="345">
        <f t="shared" si="122"/>
        <v>4.2897838177048585E-2</v>
      </c>
      <c r="I553" s="224">
        <f t="shared" si="123"/>
        <v>4191.0870499557213</v>
      </c>
      <c r="J553" s="224">
        <f>+J384</f>
        <v>4377.1813202831654</v>
      </c>
      <c r="K553" s="345">
        <f t="shared" si="124"/>
        <v>4.4402387282652632E-2</v>
      </c>
    </row>
    <row r="554" spans="2:11" ht="15" customHeight="1" x14ac:dyDescent="0.2">
      <c r="B554" s="62" t="s">
        <v>289</v>
      </c>
      <c r="C554" s="346"/>
      <c r="D554" s="346"/>
      <c r="E554" s="347"/>
      <c r="F554" s="347"/>
      <c r="G554" s="347"/>
      <c r="H554" s="348"/>
      <c r="I554" s="347"/>
      <c r="J554" s="347"/>
      <c r="K554" s="348"/>
    </row>
    <row r="555" spans="2:11" ht="15" customHeight="1" x14ac:dyDescent="0.25">
      <c r="B555" s="458" t="s">
        <v>241</v>
      </c>
      <c r="C555" s="459"/>
      <c r="D555" s="460"/>
      <c r="E555" s="454" t="s">
        <v>234</v>
      </c>
      <c r="F555" s="451" t="s">
        <v>238</v>
      </c>
      <c r="G555" s="452"/>
      <c r="H555" s="453"/>
      <c r="I555" s="451" t="s">
        <v>239</v>
      </c>
      <c r="J555" s="452"/>
      <c r="K555" s="453"/>
    </row>
    <row r="556" spans="2:11" ht="15" customHeight="1" x14ac:dyDescent="0.25">
      <c r="B556" s="461"/>
      <c r="C556" s="462"/>
      <c r="D556" s="463"/>
      <c r="E556" s="454"/>
      <c r="F556" s="343">
        <v>2019</v>
      </c>
      <c r="G556" s="343" t="s">
        <v>240</v>
      </c>
      <c r="H556" s="343" t="s">
        <v>236</v>
      </c>
      <c r="I556" s="343">
        <v>2019</v>
      </c>
      <c r="J556" s="343">
        <v>2020</v>
      </c>
      <c r="K556" s="343" t="s">
        <v>236</v>
      </c>
    </row>
    <row r="557" spans="2:11" ht="15" customHeight="1" x14ac:dyDescent="0.2">
      <c r="B557" s="230" t="s">
        <v>2</v>
      </c>
      <c r="C557" s="231"/>
      <c r="D557" s="232"/>
      <c r="E557" s="224" t="s">
        <v>129</v>
      </c>
      <c r="F557" s="224">
        <f>+G547</f>
        <v>9297.3222626879651</v>
      </c>
      <c r="G557" s="224">
        <f>+K300</f>
        <v>9367.7151866675158</v>
      </c>
      <c r="H557" s="345">
        <f>+(G557-F557)/F557</f>
        <v>7.5713116089405367E-3</v>
      </c>
      <c r="I557" s="224">
        <f>+J547</f>
        <v>9274.9397445920149</v>
      </c>
      <c r="J557" s="224">
        <f t="shared" ref="J557:J563" si="125">+G557</f>
        <v>9367.7151866675158</v>
      </c>
      <c r="K557" s="345">
        <f>+(J557-I557)/I557</f>
        <v>1.0002808064558688E-2</v>
      </c>
    </row>
    <row r="558" spans="2:11" ht="15" customHeight="1" x14ac:dyDescent="0.2">
      <c r="B558" s="230" t="s">
        <v>208</v>
      </c>
      <c r="C558" s="231"/>
      <c r="D558" s="232"/>
      <c r="E558" s="224" t="s">
        <v>129</v>
      </c>
      <c r="F558" s="224">
        <f t="shared" ref="F558:F563" si="126">+G548</f>
        <v>30309.170784018093</v>
      </c>
      <c r="G558" s="224">
        <f>+K311</f>
        <v>30040.348489629912</v>
      </c>
      <c r="H558" s="345">
        <f t="shared" ref="H558:H563" si="127">+(G558-F558)/F558</f>
        <v>-8.8693384686700169E-3</v>
      </c>
      <c r="I558" s="224">
        <f t="shared" ref="I558:I563" si="128">+J548</f>
        <v>30236.20401526694</v>
      </c>
      <c r="J558" s="224">
        <f t="shared" si="125"/>
        <v>30040.348489629912</v>
      </c>
      <c r="K558" s="345">
        <f t="shared" ref="K558:K563" si="129">+(J558-I558)/I558</f>
        <v>-6.4775170037262436E-3</v>
      </c>
    </row>
    <row r="559" spans="2:11" ht="15" customHeight="1" x14ac:dyDescent="0.2">
      <c r="B559" s="230" t="s">
        <v>209</v>
      </c>
      <c r="C559" s="231"/>
      <c r="D559" s="232"/>
      <c r="E559" s="224" t="s">
        <v>183</v>
      </c>
      <c r="F559" s="224">
        <f t="shared" si="126"/>
        <v>1989.7125855513307</v>
      </c>
      <c r="G559" s="224">
        <f>+K324</f>
        <v>1950.8528538223859</v>
      </c>
      <c r="H559" s="345">
        <f t="shared" si="127"/>
        <v>-1.953032413381308E-2</v>
      </c>
      <c r="I559" s="224">
        <f t="shared" si="128"/>
        <v>1927.0997537478077</v>
      </c>
      <c r="J559" s="224">
        <f t="shared" si="125"/>
        <v>1950.8528538223859</v>
      </c>
      <c r="K559" s="345">
        <f t="shared" si="129"/>
        <v>1.2325827984972448E-2</v>
      </c>
    </row>
    <row r="560" spans="2:11" ht="15" customHeight="1" x14ac:dyDescent="0.2">
      <c r="B560" s="230" t="s">
        <v>210</v>
      </c>
      <c r="C560" s="231"/>
      <c r="D560" s="232"/>
      <c r="E560" s="224" t="s">
        <v>183</v>
      </c>
      <c r="F560" s="224">
        <f t="shared" si="126"/>
        <v>29275.15</v>
      </c>
      <c r="G560" s="224">
        <f>+K340</f>
        <v>27927.216521161627</v>
      </c>
      <c r="H560" s="345">
        <f t="shared" si="127"/>
        <v>-4.6043606227068858E-2</v>
      </c>
      <c r="I560" s="224">
        <f t="shared" si="128"/>
        <v>30101.845140953283</v>
      </c>
      <c r="J560" s="224">
        <f t="shared" si="125"/>
        <v>27927.216521161627</v>
      </c>
      <c r="K560" s="345">
        <f t="shared" si="129"/>
        <v>-7.2242369516182708E-2</v>
      </c>
    </row>
    <row r="561" spans="2:11" ht="15" customHeight="1" x14ac:dyDescent="0.2">
      <c r="B561" s="230" t="s">
        <v>142</v>
      </c>
      <c r="C561" s="231"/>
      <c r="D561" s="232"/>
      <c r="E561" s="224" t="s">
        <v>183</v>
      </c>
      <c r="F561" s="349">
        <f t="shared" si="126"/>
        <v>1.0490929203539823</v>
      </c>
      <c r="G561" s="349">
        <f>+K355</f>
        <v>1.0490929203539823</v>
      </c>
      <c r="H561" s="345">
        <f t="shared" si="127"/>
        <v>0</v>
      </c>
      <c r="I561" s="349">
        <f t="shared" si="128"/>
        <v>1.0475912129877067</v>
      </c>
      <c r="J561" s="349">
        <f t="shared" si="125"/>
        <v>1.0490929203539823</v>
      </c>
      <c r="K561" s="345">
        <f t="shared" si="129"/>
        <v>1.4334860274292419E-3</v>
      </c>
    </row>
    <row r="562" spans="2:11" ht="15" customHeight="1" x14ac:dyDescent="0.2">
      <c r="B562" s="230" t="s">
        <v>143</v>
      </c>
      <c r="C562" s="231"/>
      <c r="D562" s="232"/>
      <c r="E562" s="224" t="s">
        <v>183</v>
      </c>
      <c r="F562" s="349">
        <f t="shared" si="126"/>
        <v>0.74422062350119911</v>
      </c>
      <c r="G562" s="349">
        <f>+K371</f>
        <v>0.74581789099594287</v>
      </c>
      <c r="H562" s="345">
        <f t="shared" si="127"/>
        <v>2.146228476213661E-3</v>
      </c>
      <c r="I562" s="349">
        <f t="shared" si="128"/>
        <v>0.79607101788641943</v>
      </c>
      <c r="J562" s="349">
        <f t="shared" si="125"/>
        <v>0.74581789099594287</v>
      </c>
      <c r="K562" s="345">
        <f t="shared" si="129"/>
        <v>-6.3126436915012143E-2</v>
      </c>
    </row>
    <row r="563" spans="2:11" ht="15" customHeight="1" x14ac:dyDescent="0.2">
      <c r="B563" s="230" t="s">
        <v>146</v>
      </c>
      <c r="C563" s="231"/>
      <c r="D563" s="232"/>
      <c r="E563" s="224" t="s">
        <v>129</v>
      </c>
      <c r="F563" s="224">
        <f t="shared" si="126"/>
        <v>4387.7444444444445</v>
      </c>
      <c r="G563" s="224">
        <f>+K383</f>
        <v>4387.7444444444445</v>
      </c>
      <c r="H563" s="345">
        <f t="shared" si="127"/>
        <v>0</v>
      </c>
      <c r="I563" s="224">
        <f t="shared" si="128"/>
        <v>4377.1813202831654</v>
      </c>
      <c r="J563" s="224">
        <f t="shared" si="125"/>
        <v>4387.7444444444445</v>
      </c>
      <c r="K563" s="345">
        <f t="shared" si="129"/>
        <v>2.4132251758297685E-3</v>
      </c>
    </row>
    <row r="564" spans="2:11" ht="15" customHeight="1" x14ac:dyDescent="0.2">
      <c r="B564" s="62" t="s">
        <v>290</v>
      </c>
      <c r="C564" s="346"/>
      <c r="D564" s="346"/>
      <c r="E564" s="347"/>
      <c r="F564" s="347"/>
      <c r="G564" s="347"/>
      <c r="H564" s="348"/>
      <c r="I564" s="347"/>
      <c r="J564" s="347"/>
      <c r="K564" s="348"/>
    </row>
    <row r="565" spans="2:11" ht="15" customHeight="1" x14ac:dyDescent="0.25">
      <c r="B565" s="458" t="s">
        <v>241</v>
      </c>
      <c r="C565" s="459"/>
      <c r="D565" s="460"/>
      <c r="E565" s="454" t="s">
        <v>234</v>
      </c>
      <c r="F565" s="451" t="s">
        <v>239</v>
      </c>
      <c r="G565" s="452"/>
      <c r="H565" s="453"/>
    </row>
    <row r="566" spans="2:11" ht="15" customHeight="1" x14ac:dyDescent="0.25">
      <c r="B566" s="461"/>
      <c r="C566" s="462"/>
      <c r="D566" s="463"/>
      <c r="E566" s="454"/>
      <c r="F566" s="343">
        <v>2020</v>
      </c>
      <c r="G566" s="343">
        <v>2021</v>
      </c>
      <c r="H566" s="343" t="s">
        <v>236</v>
      </c>
    </row>
    <row r="567" spans="2:11" ht="15" customHeight="1" x14ac:dyDescent="0.2">
      <c r="B567" s="230" t="s">
        <v>2</v>
      </c>
      <c r="C567" s="231"/>
      <c r="D567" s="232"/>
      <c r="E567" s="224" t="s">
        <v>129</v>
      </c>
      <c r="F567" s="224">
        <f>+J557</f>
        <v>9367.7151866675158</v>
      </c>
      <c r="G567" s="224">
        <f>+L300</f>
        <v>9446.6612522966334</v>
      </c>
      <c r="H567" s="345">
        <f>+(G567-F567)/F567</f>
        <v>8.4274621992646171E-3</v>
      </c>
    </row>
    <row r="568" spans="2:11" ht="15" customHeight="1" x14ac:dyDescent="0.2">
      <c r="B568" s="230" t="s">
        <v>208</v>
      </c>
      <c r="C568" s="231"/>
      <c r="D568" s="232"/>
      <c r="E568" s="224" t="s">
        <v>129</v>
      </c>
      <c r="F568" s="224">
        <f t="shared" ref="F568:F573" si="130">+J558</f>
        <v>30040.348489629912</v>
      </c>
      <c r="G568" s="224">
        <f>+L311</f>
        <v>29836.109165492267</v>
      </c>
      <c r="H568" s="345">
        <f t="shared" ref="H568:H573" si="131">+(G568-F568)/F568</f>
        <v>-6.7988333826469877E-3</v>
      </c>
    </row>
    <row r="569" spans="2:11" ht="15" customHeight="1" x14ac:dyDescent="0.2">
      <c r="B569" s="230" t="s">
        <v>209</v>
      </c>
      <c r="C569" s="231"/>
      <c r="D569" s="232"/>
      <c r="E569" s="224" t="s">
        <v>183</v>
      </c>
      <c r="F569" s="224">
        <f t="shared" si="130"/>
        <v>1950.8528538223859</v>
      </c>
      <c r="G569" s="224">
        <f>+L324</f>
        <v>1911.4887338407711</v>
      </c>
      <c r="H569" s="345">
        <f t="shared" si="131"/>
        <v>-2.0177903169112429E-2</v>
      </c>
    </row>
    <row r="570" spans="2:11" ht="15" customHeight="1" x14ac:dyDescent="0.2">
      <c r="B570" s="230" t="s">
        <v>210</v>
      </c>
      <c r="C570" s="231"/>
      <c r="D570" s="232"/>
      <c r="E570" s="224" t="s">
        <v>183</v>
      </c>
      <c r="F570" s="224">
        <f t="shared" si="130"/>
        <v>27927.216521161627</v>
      </c>
      <c r="G570" s="224">
        <f>+L340</f>
        <v>27098.262991662719</v>
      </c>
      <c r="H570" s="345">
        <f t="shared" si="131"/>
        <v>-2.9682640547824532E-2</v>
      </c>
    </row>
    <row r="571" spans="2:11" ht="15" customHeight="1" x14ac:dyDescent="0.2">
      <c r="B571" s="230" t="s">
        <v>142</v>
      </c>
      <c r="C571" s="231"/>
      <c r="D571" s="232"/>
      <c r="E571" s="224" t="s">
        <v>183</v>
      </c>
      <c r="F571" s="349">
        <f t="shared" si="130"/>
        <v>1.0490929203539823</v>
      </c>
      <c r="G571" s="349">
        <f>+L355</f>
        <v>1.0490929203539823</v>
      </c>
      <c r="H571" s="345">
        <f t="shared" si="131"/>
        <v>0</v>
      </c>
    </row>
    <row r="572" spans="2:11" ht="15" customHeight="1" x14ac:dyDescent="0.2">
      <c r="B572" s="230" t="s">
        <v>143</v>
      </c>
      <c r="C572" s="231"/>
      <c r="D572" s="232"/>
      <c r="E572" s="224" t="s">
        <v>183</v>
      </c>
      <c r="F572" s="349">
        <f t="shared" si="130"/>
        <v>0.74581789099594287</v>
      </c>
      <c r="G572" s="349">
        <f>+L370</f>
        <v>0.74581789099594287</v>
      </c>
      <c r="H572" s="345">
        <f t="shared" si="131"/>
        <v>0</v>
      </c>
    </row>
    <row r="573" spans="2:11" ht="15" customHeight="1" x14ac:dyDescent="0.2">
      <c r="B573" s="230" t="s">
        <v>146</v>
      </c>
      <c r="C573" s="231"/>
      <c r="D573" s="232"/>
      <c r="E573" s="224" t="s">
        <v>129</v>
      </c>
      <c r="F573" s="224">
        <f t="shared" si="130"/>
        <v>4387.7444444444445</v>
      </c>
      <c r="G573" s="224">
        <f>+L383</f>
        <v>4387.7444444444445</v>
      </c>
      <c r="H573" s="345">
        <f t="shared" si="131"/>
        <v>0</v>
      </c>
    </row>
    <row r="574" spans="2:11" ht="15" customHeight="1" x14ac:dyDescent="0.2">
      <c r="B574" s="346"/>
      <c r="C574" s="346"/>
      <c r="D574" s="346"/>
      <c r="E574" s="347"/>
      <c r="F574" s="347"/>
      <c r="G574" s="347"/>
      <c r="H574" s="348"/>
      <c r="I574" s="347"/>
      <c r="J574" s="347"/>
      <c r="K574" s="348"/>
    </row>
    <row r="575" spans="2:11" ht="15" customHeight="1" x14ac:dyDescent="0.2">
      <c r="B575" s="346"/>
      <c r="C575" s="346"/>
      <c r="D575" s="346"/>
      <c r="E575" s="347"/>
      <c r="F575" s="347"/>
      <c r="G575" s="347"/>
      <c r="H575" s="348"/>
      <c r="I575" s="347"/>
      <c r="J575" s="347"/>
      <c r="K575" s="348"/>
    </row>
    <row r="576" spans="2:11" ht="15" customHeight="1" x14ac:dyDescent="0.2">
      <c r="B576" s="346"/>
      <c r="C576" s="346"/>
      <c r="D576" s="346"/>
      <c r="E576" s="347"/>
      <c r="F576" s="347"/>
      <c r="G576" s="347"/>
      <c r="H576" s="348"/>
      <c r="I576" s="347"/>
      <c r="J576" s="347"/>
      <c r="K576" s="348"/>
    </row>
    <row r="577" spans="2:11" ht="15" customHeight="1" x14ac:dyDescent="0.2">
      <c r="B577" s="346"/>
      <c r="C577" s="346"/>
      <c r="D577" s="346"/>
      <c r="E577" s="347"/>
      <c r="F577" s="347"/>
      <c r="G577" s="347"/>
      <c r="H577" s="348"/>
      <c r="I577" s="347"/>
      <c r="J577" s="347"/>
      <c r="K577" s="348"/>
    </row>
    <row r="578" spans="2:11" ht="15" customHeight="1" x14ac:dyDescent="0.2">
      <c r="B578" s="346"/>
      <c r="C578" s="346"/>
      <c r="D578" s="346"/>
      <c r="E578" s="347"/>
      <c r="F578" s="347"/>
      <c r="G578" s="347"/>
      <c r="H578" s="348"/>
      <c r="I578" s="347"/>
      <c r="J578" s="347"/>
      <c r="K578" s="348"/>
    </row>
    <row r="579" spans="2:11" ht="15" customHeight="1" x14ac:dyDescent="0.2">
      <c r="B579" s="346"/>
      <c r="C579" s="346"/>
      <c r="D579" s="346"/>
      <c r="E579" s="347"/>
      <c r="F579" s="347"/>
      <c r="G579" s="347"/>
      <c r="H579" s="348"/>
      <c r="I579" s="347"/>
      <c r="J579" s="347"/>
      <c r="K579" s="348"/>
    </row>
    <row r="580" spans="2:11" ht="15" customHeight="1" x14ac:dyDescent="0.2">
      <c r="B580" s="346"/>
      <c r="C580" s="346"/>
      <c r="D580" s="346"/>
      <c r="E580" s="347"/>
      <c r="F580" s="347"/>
      <c r="G580" s="347"/>
      <c r="H580" s="348"/>
      <c r="I580" s="347"/>
      <c r="J580" s="347"/>
      <c r="K580" s="348"/>
    </row>
    <row r="581" spans="2:11" ht="15" customHeight="1" x14ac:dyDescent="0.2">
      <c r="B581" s="346"/>
      <c r="C581" s="346"/>
      <c r="D581" s="346"/>
      <c r="E581" s="347"/>
      <c r="F581" s="347"/>
      <c r="G581" s="347"/>
      <c r="H581" s="348"/>
      <c r="I581" s="347"/>
      <c r="J581" s="347"/>
      <c r="K581" s="348"/>
    </row>
    <row r="582" spans="2:11" ht="15" customHeight="1" x14ac:dyDescent="0.2">
      <c r="B582" s="346"/>
      <c r="C582" s="346"/>
      <c r="D582" s="346"/>
      <c r="E582" s="347"/>
      <c r="F582" s="347"/>
      <c r="G582" s="347"/>
      <c r="H582" s="348"/>
      <c r="I582" s="347"/>
      <c r="J582" s="347"/>
      <c r="K582" s="348"/>
    </row>
    <row r="583" spans="2:11" ht="15" customHeight="1" x14ac:dyDescent="0.2">
      <c r="B583" s="346"/>
      <c r="C583" s="346"/>
      <c r="D583" s="346"/>
      <c r="E583" s="347"/>
      <c r="F583" s="347"/>
      <c r="G583" s="347"/>
      <c r="H583" s="348"/>
      <c r="I583" s="347"/>
      <c r="J583" s="347"/>
      <c r="K583" s="348"/>
    </row>
    <row r="584" spans="2:11" ht="15" customHeight="1" x14ac:dyDescent="0.2">
      <c r="B584" s="346"/>
      <c r="C584" s="346"/>
      <c r="D584" s="346"/>
      <c r="E584" s="347"/>
      <c r="F584" s="347"/>
      <c r="G584" s="347"/>
      <c r="H584" s="348"/>
      <c r="I584" s="347"/>
      <c r="J584" s="347"/>
      <c r="K584" s="348"/>
    </row>
    <row r="585" spans="2:11" ht="15" customHeight="1" x14ac:dyDescent="0.2">
      <c r="B585" s="346"/>
      <c r="C585" s="346"/>
      <c r="D585" s="346"/>
      <c r="E585" s="347"/>
      <c r="F585" s="347"/>
      <c r="G585" s="347"/>
      <c r="H585" s="348"/>
      <c r="I585" s="347"/>
      <c r="J585" s="347"/>
      <c r="K585" s="348"/>
    </row>
    <row r="586" spans="2:11" ht="15" customHeight="1" x14ac:dyDescent="0.2">
      <c r="B586" s="346"/>
      <c r="C586" s="346"/>
      <c r="D586" s="346"/>
      <c r="E586" s="347"/>
      <c r="F586" s="347"/>
      <c r="G586" s="347"/>
      <c r="H586" s="348"/>
      <c r="I586" s="347"/>
      <c r="J586" s="347"/>
      <c r="K586" s="348"/>
    </row>
    <row r="587" spans="2:11" ht="15" customHeight="1" x14ac:dyDescent="0.2">
      <c r="B587" s="346"/>
      <c r="C587" s="346"/>
      <c r="D587" s="346"/>
      <c r="E587" s="347"/>
      <c r="F587" s="347"/>
      <c r="G587" s="347"/>
      <c r="H587" s="348"/>
      <c r="I587" s="347"/>
      <c r="J587" s="347"/>
      <c r="K587" s="348"/>
    </row>
    <row r="588" spans="2:11" ht="15" customHeight="1" x14ac:dyDescent="0.2">
      <c r="B588" s="346"/>
      <c r="C588" s="346"/>
      <c r="D588" s="346"/>
      <c r="E588" s="347"/>
      <c r="F588" s="347"/>
      <c r="G588" s="347"/>
      <c r="H588" s="348"/>
      <c r="I588" s="347"/>
      <c r="J588" s="347"/>
      <c r="K588" s="348"/>
    </row>
    <row r="589" spans="2:11" ht="15" customHeight="1" x14ac:dyDescent="0.2">
      <c r="B589" s="346"/>
      <c r="C589" s="346"/>
      <c r="D589" s="346"/>
      <c r="E589" s="347"/>
      <c r="F589" s="347"/>
      <c r="G589" s="347"/>
      <c r="H589" s="348"/>
      <c r="I589" s="347"/>
      <c r="J589" s="347"/>
      <c r="K589" s="348"/>
    </row>
    <row r="590" spans="2:11" ht="15" customHeight="1" x14ac:dyDescent="0.2">
      <c r="B590" s="346"/>
      <c r="C590" s="346"/>
      <c r="D590" s="346"/>
      <c r="E590" s="347"/>
      <c r="F590" s="347"/>
      <c r="G590" s="347"/>
      <c r="H590" s="348"/>
      <c r="I590" s="347"/>
      <c r="J590" s="347"/>
      <c r="K590" s="348"/>
    </row>
    <row r="591" spans="2:11" ht="15" customHeight="1" x14ac:dyDescent="0.2">
      <c r="B591" s="346"/>
      <c r="C591" s="346"/>
      <c r="D591" s="346"/>
      <c r="E591" s="347"/>
      <c r="F591" s="347"/>
      <c r="G591" s="347"/>
      <c r="H591" s="348"/>
      <c r="I591" s="347"/>
      <c r="J591" s="347"/>
      <c r="K591" s="348"/>
    </row>
    <row r="600" spans="7:9" ht="15" customHeight="1" x14ac:dyDescent="0.25">
      <c r="G600" s="60" t="s">
        <v>204</v>
      </c>
      <c r="I600" s="304" t="s">
        <v>211</v>
      </c>
    </row>
    <row r="601" spans="7:9" ht="15" customHeight="1" x14ac:dyDescent="0.25">
      <c r="G601" s="60" t="s">
        <v>50</v>
      </c>
      <c r="I601" s="304"/>
    </row>
    <row r="602" spans="7:9" ht="15" customHeight="1" x14ac:dyDescent="0.25">
      <c r="G602" s="60" t="s">
        <v>51</v>
      </c>
      <c r="I602" s="304">
        <v>566813951.63370395</v>
      </c>
    </row>
    <row r="603" spans="7:9" ht="15" customHeight="1" x14ac:dyDescent="0.25">
      <c r="G603" s="60" t="s">
        <v>9</v>
      </c>
      <c r="I603" s="304"/>
    </row>
    <row r="604" spans="7:9" ht="15" customHeight="1" x14ac:dyDescent="0.25">
      <c r="I604" s="304"/>
    </row>
    <row r="605" spans="7:9" ht="15" customHeight="1" x14ac:dyDescent="0.25">
      <c r="G605" s="60" t="s">
        <v>205</v>
      </c>
      <c r="I605" s="304">
        <v>5273478.6011029417</v>
      </c>
    </row>
    <row r="606" spans="7:9" ht="15" customHeight="1" x14ac:dyDescent="0.25">
      <c r="I606" s="304">
        <v>18019538.910121869</v>
      </c>
    </row>
    <row r="607" spans="7:9" ht="15" customHeight="1" x14ac:dyDescent="0.25">
      <c r="G607" s="60" t="s">
        <v>63</v>
      </c>
      <c r="I607" s="304">
        <v>543520934.12247908</v>
      </c>
    </row>
    <row r="608" spans="7:9" ht="15" customHeight="1" x14ac:dyDescent="0.25">
      <c r="G608" s="60" t="s">
        <v>206</v>
      </c>
      <c r="I608" s="304"/>
    </row>
    <row r="609" spans="7:9" ht="15" customHeight="1" x14ac:dyDescent="0.25">
      <c r="G609" s="60" t="s">
        <v>53</v>
      </c>
      <c r="I609" s="304">
        <v>542759016.4169569</v>
      </c>
    </row>
    <row r="610" spans="7:9" ht="15" customHeight="1" x14ac:dyDescent="0.25">
      <c r="I610" s="304"/>
    </row>
    <row r="611" spans="7:9" ht="15" customHeight="1" x14ac:dyDescent="0.25">
      <c r="G611" s="60" t="s">
        <v>207</v>
      </c>
      <c r="I611" s="304">
        <v>5049678.2063688152</v>
      </c>
    </row>
    <row r="612" spans="7:9" ht="15" customHeight="1" x14ac:dyDescent="0.25">
      <c r="G612" s="60" t="s">
        <v>206</v>
      </c>
      <c r="I612" s="304">
        <v>17254810.307607245</v>
      </c>
    </row>
    <row r="613" spans="7:9" ht="15" customHeight="1" x14ac:dyDescent="0.25">
      <c r="G613" s="60" t="s">
        <v>64</v>
      </c>
      <c r="I613" s="304">
        <v>520454527.90298086</v>
      </c>
    </row>
    <row r="614" spans="7:9" ht="15" customHeight="1" x14ac:dyDescent="0.25">
      <c r="I614" s="304"/>
    </row>
    <row r="615" spans="7:9" ht="15" customHeight="1" x14ac:dyDescent="0.25">
      <c r="G615" s="60" t="s">
        <v>52</v>
      </c>
      <c r="I615" s="304"/>
    </row>
    <row r="616" spans="7:9" ht="15" customHeight="1" x14ac:dyDescent="0.25">
      <c r="G616" s="60" t="s">
        <v>2</v>
      </c>
      <c r="I616" s="304"/>
    </row>
    <row r="617" spans="7:9" ht="15" customHeight="1" x14ac:dyDescent="0.25">
      <c r="G617" s="60" t="s">
        <v>44</v>
      </c>
      <c r="I617" s="304">
        <v>21124</v>
      </c>
    </row>
    <row r="618" spans="7:9" ht="15" customHeight="1" x14ac:dyDescent="0.25">
      <c r="G618" s="60" t="s">
        <v>45</v>
      </c>
      <c r="I618" s="304">
        <v>205497424.88810688</v>
      </c>
    </row>
    <row r="619" spans="7:9" ht="15" customHeight="1" x14ac:dyDescent="0.25">
      <c r="I619" s="304"/>
    </row>
    <row r="620" spans="7:9" ht="15" customHeight="1" x14ac:dyDescent="0.25">
      <c r="G620" s="60" t="s">
        <v>208</v>
      </c>
      <c r="I620" s="304"/>
    </row>
    <row r="621" spans="7:9" ht="15" customHeight="1" x14ac:dyDescent="0.25">
      <c r="G621" s="60" t="s">
        <v>44</v>
      </c>
      <c r="I621" s="304">
        <v>2668</v>
      </c>
    </row>
    <row r="622" spans="7:9" ht="15" customHeight="1" x14ac:dyDescent="0.25">
      <c r="G622" s="60" t="s">
        <v>45</v>
      </c>
      <c r="I622" s="304">
        <v>85361037.046016753</v>
      </c>
    </row>
    <row r="623" spans="7:9" ht="15" customHeight="1" x14ac:dyDescent="0.25">
      <c r="I623" s="304"/>
    </row>
    <row r="624" spans="7:9" ht="15" customHeight="1" x14ac:dyDescent="0.25">
      <c r="G624" s="60" t="s">
        <v>209</v>
      </c>
      <c r="I624" s="304"/>
    </row>
    <row r="625" spans="7:9" ht="15" customHeight="1" x14ac:dyDescent="0.25">
      <c r="G625" s="60" t="s">
        <v>44</v>
      </c>
      <c r="I625" s="304">
        <v>247</v>
      </c>
    </row>
    <row r="626" spans="7:9" ht="15" customHeight="1" x14ac:dyDescent="0.25">
      <c r="G626" s="60" t="s">
        <v>45</v>
      </c>
      <c r="I626" s="304">
        <v>209884489.37657064</v>
      </c>
    </row>
    <row r="627" spans="7:9" ht="15" customHeight="1" x14ac:dyDescent="0.25">
      <c r="G627" s="60" t="s">
        <v>46</v>
      </c>
      <c r="I627" s="304">
        <v>519864.63481550448</v>
      </c>
    </row>
    <row r="628" spans="7:9" ht="15" customHeight="1" x14ac:dyDescent="0.25">
      <c r="I628" s="304"/>
    </row>
    <row r="629" spans="7:9" ht="15" customHeight="1" x14ac:dyDescent="0.25">
      <c r="G629" s="60" t="s">
        <v>210</v>
      </c>
      <c r="I629" s="304"/>
    </row>
    <row r="630" spans="7:9" ht="15" customHeight="1" x14ac:dyDescent="0.25">
      <c r="G630" s="60" t="s">
        <v>44</v>
      </c>
      <c r="I630" s="304">
        <v>1</v>
      </c>
    </row>
    <row r="631" spans="7:9" ht="15" customHeight="1" x14ac:dyDescent="0.25">
      <c r="G631" s="60" t="s">
        <v>45</v>
      </c>
      <c r="I631" s="304">
        <v>17254810.307607245</v>
      </c>
    </row>
    <row r="632" spans="7:9" ht="15" customHeight="1" x14ac:dyDescent="0.25">
      <c r="G632" s="60" t="s">
        <v>46</v>
      </c>
      <c r="I632" s="304">
        <v>33801.425697666316</v>
      </c>
    </row>
    <row r="633" spans="7:9" ht="15" customHeight="1" x14ac:dyDescent="0.25">
      <c r="I633" s="304"/>
    </row>
    <row r="634" spans="7:9" ht="15" customHeight="1" x14ac:dyDescent="0.25">
      <c r="G634" s="60" t="s">
        <v>142</v>
      </c>
      <c r="I634" s="304"/>
    </row>
    <row r="635" spans="7:9" ht="15" customHeight="1" x14ac:dyDescent="0.25">
      <c r="G635" s="60" t="s">
        <v>44</v>
      </c>
      <c r="I635" s="304">
        <v>5419</v>
      </c>
    </row>
    <row r="636" spans="7:9" ht="15" customHeight="1" x14ac:dyDescent="0.25">
      <c r="G636" s="60" t="s">
        <v>45</v>
      </c>
      <c r="I636" s="304">
        <v>2018762.3305114082</v>
      </c>
    </row>
    <row r="637" spans="7:9" ht="15" customHeight="1" x14ac:dyDescent="0.25">
      <c r="G637" s="60" t="s">
        <v>46</v>
      </c>
      <c r="I637" s="304">
        <v>5641.08</v>
      </c>
    </row>
    <row r="638" spans="7:9" ht="15" customHeight="1" x14ac:dyDescent="0.25">
      <c r="I638" s="304"/>
    </row>
    <row r="639" spans="7:9" ht="15" customHeight="1" x14ac:dyDescent="0.25">
      <c r="G639" s="60" t="s">
        <v>143</v>
      </c>
      <c r="I639" s="304"/>
    </row>
    <row r="640" spans="7:9" ht="15" customHeight="1" x14ac:dyDescent="0.25">
      <c r="G640" s="60" t="s">
        <v>47</v>
      </c>
      <c r="I640" s="304">
        <v>412</v>
      </c>
    </row>
    <row r="641" spans="7:9" ht="15" customHeight="1" x14ac:dyDescent="0.25">
      <c r="G641" s="60" t="s">
        <v>45</v>
      </c>
      <c r="I641" s="304">
        <v>405959.29373617272</v>
      </c>
    </row>
    <row r="642" spans="7:9" ht="15" customHeight="1" x14ac:dyDescent="0.25">
      <c r="G642" s="60" t="s">
        <v>46</v>
      </c>
      <c r="I642" s="304">
        <v>1193.4344347067597</v>
      </c>
    </row>
    <row r="643" spans="7:9" ht="15" customHeight="1" x14ac:dyDescent="0.25">
      <c r="I643" s="304"/>
    </row>
    <row r="644" spans="7:9" ht="15" customHeight="1" x14ac:dyDescent="0.25">
      <c r="G644" s="60" t="s">
        <v>146</v>
      </c>
      <c r="I644" s="304"/>
    </row>
    <row r="645" spans="7:9" ht="15" customHeight="1" x14ac:dyDescent="0.25">
      <c r="G645" s="60" t="s">
        <v>62</v>
      </c>
      <c r="I645" s="304">
        <v>7</v>
      </c>
    </row>
    <row r="646" spans="7:9" ht="15" customHeight="1" x14ac:dyDescent="0.25">
      <c r="G646" s="60" t="s">
        <v>45</v>
      </c>
      <c r="I646" s="304">
        <v>32044.660431652101</v>
      </c>
    </row>
    <row r="647" spans="7:9" ht="15" customHeight="1" x14ac:dyDescent="0.25">
      <c r="I647" s="304"/>
    </row>
    <row r="648" spans="7:9" ht="15" customHeight="1" x14ac:dyDescent="0.25">
      <c r="G648" s="60" t="s">
        <v>10</v>
      </c>
      <c r="I648" s="304"/>
    </row>
    <row r="649" spans="7:9" ht="15" customHeight="1" x14ac:dyDescent="0.25">
      <c r="G649" s="60" t="s">
        <v>49</v>
      </c>
      <c r="I649" s="304">
        <v>29878</v>
      </c>
    </row>
    <row r="650" spans="7:9" ht="15" customHeight="1" x14ac:dyDescent="0.25">
      <c r="G650" s="60" t="s">
        <v>45</v>
      </c>
      <c r="I650" s="304">
        <v>520454527.90298069</v>
      </c>
    </row>
    <row r="651" spans="7:9" ht="15" customHeight="1" x14ac:dyDescent="0.25">
      <c r="G651" s="60" t="s">
        <v>48</v>
      </c>
      <c r="I651" s="304">
        <v>560500.57494787755</v>
      </c>
    </row>
    <row r="652" spans="7:9" ht="15" customHeight="1" x14ac:dyDescent="0.25">
      <c r="I652" s="304"/>
    </row>
    <row r="653" spans="7:9" ht="15" customHeight="1" x14ac:dyDescent="0.25">
      <c r="G653" s="60" t="s">
        <v>59</v>
      </c>
      <c r="I653" s="304">
        <v>1</v>
      </c>
    </row>
    <row r="654" spans="7:9" ht="15" customHeight="1" x14ac:dyDescent="0.25">
      <c r="I654" s="304">
        <v>22304488.513976216</v>
      </c>
    </row>
    <row r="655" spans="7:9" ht="15" customHeight="1" x14ac:dyDescent="0.25">
      <c r="I655" s="304">
        <v>0</v>
      </c>
    </row>
    <row r="656" spans="7:9" ht="15" customHeight="1" x14ac:dyDescent="0.25">
      <c r="I656" s="304"/>
    </row>
    <row r="657" spans="7:9" ht="15" customHeight="1" x14ac:dyDescent="0.25">
      <c r="G657" s="60" t="s">
        <v>119</v>
      </c>
      <c r="I657" s="304">
        <v>24040</v>
      </c>
    </row>
    <row r="658" spans="7:9" ht="15" customHeight="1" x14ac:dyDescent="0.25">
      <c r="G658" s="60" t="s">
        <v>120</v>
      </c>
      <c r="I658" s="304">
        <v>1</v>
      </c>
    </row>
    <row r="659" spans="7:9" ht="15" customHeight="1" x14ac:dyDescent="0.25">
      <c r="G659" s="60" t="s">
        <v>121</v>
      </c>
      <c r="I659" s="304">
        <v>263</v>
      </c>
    </row>
    <row r="660" spans="7:9" ht="15" customHeight="1" x14ac:dyDescent="0.25">
      <c r="G660" s="60" t="s">
        <v>122</v>
      </c>
      <c r="I660" s="304">
        <v>7</v>
      </c>
    </row>
    <row r="661" spans="7:9" ht="15" customHeight="1" x14ac:dyDescent="0.25">
      <c r="I661" s="304">
        <v>24311</v>
      </c>
    </row>
  </sheetData>
  <mergeCells count="134">
    <mergeCell ref="O206:V206"/>
    <mergeCell ref="B565:D566"/>
    <mergeCell ref="E565:E566"/>
    <mergeCell ref="F565:H565"/>
    <mergeCell ref="B535:D536"/>
    <mergeCell ref="E535:E536"/>
    <mergeCell ref="F535:H535"/>
    <mergeCell ref="I535:K535"/>
    <mergeCell ref="B545:D546"/>
    <mergeCell ref="E545:E546"/>
    <mergeCell ref="F545:H545"/>
    <mergeCell ref="I545:K545"/>
    <mergeCell ref="B555:D556"/>
    <mergeCell ref="E555:E556"/>
    <mergeCell ref="F555:H555"/>
    <mergeCell ref="I555:K555"/>
    <mergeCell ref="B515:D516"/>
    <mergeCell ref="E515:E516"/>
    <mergeCell ref="F515:H515"/>
    <mergeCell ref="I515:K515"/>
    <mergeCell ref="B525:D526"/>
    <mergeCell ref="E525:E526"/>
    <mergeCell ref="F525:H525"/>
    <mergeCell ref="I525:K525"/>
    <mergeCell ref="B505:D506"/>
    <mergeCell ref="E505:E506"/>
    <mergeCell ref="F505:F506"/>
    <mergeCell ref="G505:H505"/>
    <mergeCell ref="I505:J505"/>
    <mergeCell ref="B490:D490"/>
    <mergeCell ref="E490:G490"/>
    <mergeCell ref="H490:I490"/>
    <mergeCell ref="J490:K490"/>
    <mergeCell ref="B491:D491"/>
    <mergeCell ref="B478:D478"/>
    <mergeCell ref="B8:D8"/>
    <mergeCell ref="B6:D6"/>
    <mergeCell ref="B25:D25"/>
    <mergeCell ref="B27:D27"/>
    <mergeCell ref="B466:D466"/>
    <mergeCell ref="B476:L476"/>
    <mergeCell ref="B477:D477"/>
    <mergeCell ref="E477:G477"/>
    <mergeCell ref="H477:I477"/>
    <mergeCell ref="J477:K477"/>
    <mergeCell ref="B454:D454"/>
    <mergeCell ref="B464:L464"/>
    <mergeCell ref="B465:D465"/>
    <mergeCell ref="E465:G465"/>
    <mergeCell ref="H465:I465"/>
    <mergeCell ref="J465:K465"/>
    <mergeCell ref="B442:D442"/>
    <mergeCell ref="B452:L452"/>
    <mergeCell ref="B453:D453"/>
    <mergeCell ref="E453:G453"/>
    <mergeCell ref="H453:I453"/>
    <mergeCell ref="J453:K453"/>
    <mergeCell ref="B430:D430"/>
    <mergeCell ref="B440:L440"/>
    <mergeCell ref="B441:D441"/>
    <mergeCell ref="E441:G441"/>
    <mergeCell ref="H441:I441"/>
    <mergeCell ref="J441:K441"/>
    <mergeCell ref="B418:D418"/>
    <mergeCell ref="B428:L428"/>
    <mergeCell ref="B429:D429"/>
    <mergeCell ref="E429:G429"/>
    <mergeCell ref="H429:I429"/>
    <mergeCell ref="J429:K429"/>
    <mergeCell ref="B406:D406"/>
    <mergeCell ref="B416:L416"/>
    <mergeCell ref="B417:D417"/>
    <mergeCell ref="E417:G417"/>
    <mergeCell ref="H417:I417"/>
    <mergeCell ref="J417:K417"/>
    <mergeCell ref="B397:L397"/>
    <mergeCell ref="B404:L404"/>
    <mergeCell ref="B405:D405"/>
    <mergeCell ref="E405:G405"/>
    <mergeCell ref="H405:I405"/>
    <mergeCell ref="J405:K405"/>
    <mergeCell ref="B372:L372"/>
    <mergeCell ref="B378:L378"/>
    <mergeCell ref="B379:L379"/>
    <mergeCell ref="B385:L385"/>
    <mergeCell ref="B390:L390"/>
    <mergeCell ref="B391:L391"/>
    <mergeCell ref="B342:L342"/>
    <mergeCell ref="B348:L348"/>
    <mergeCell ref="B349:L349"/>
    <mergeCell ref="B357:L357"/>
    <mergeCell ref="B363:L363"/>
    <mergeCell ref="B364:L364"/>
    <mergeCell ref="B313:L313"/>
    <mergeCell ref="B317:L317"/>
    <mergeCell ref="B318:L318"/>
    <mergeCell ref="B327:L327"/>
    <mergeCell ref="B333:L333"/>
    <mergeCell ref="B334:L334"/>
    <mergeCell ref="B290:E290"/>
    <mergeCell ref="B291:E291"/>
    <mergeCell ref="B296:L296"/>
    <mergeCell ref="B302:L302"/>
    <mergeCell ref="B306:L306"/>
    <mergeCell ref="B307:L307"/>
    <mergeCell ref="B244:D244"/>
    <mergeCell ref="B282:E282"/>
    <mergeCell ref="B283:E283"/>
    <mergeCell ref="B284:E284"/>
    <mergeCell ref="B285:E285"/>
    <mergeCell ref="B289:E289"/>
    <mergeCell ref="B237:D237"/>
    <mergeCell ref="B238:D238"/>
    <mergeCell ref="B240:D240"/>
    <mergeCell ref="B241:D241"/>
    <mergeCell ref="B243:D243"/>
    <mergeCell ref="B9:D9"/>
    <mergeCell ref="B10:D10"/>
    <mergeCell ref="B11:D11"/>
    <mergeCell ref="B12:D12"/>
    <mergeCell ref="B19:D19"/>
    <mergeCell ref="B20:D20"/>
    <mergeCell ref="B38:D38"/>
    <mergeCell ref="B39:D39"/>
    <mergeCell ref="B155:D155"/>
    <mergeCell ref="B192:D192"/>
    <mergeCell ref="B193:D193"/>
    <mergeCell ref="B158:D158"/>
    <mergeCell ref="B13:D13"/>
    <mergeCell ref="B14:D14"/>
    <mergeCell ref="B15:D15"/>
    <mergeCell ref="B16:D16"/>
    <mergeCell ref="B17:D17"/>
    <mergeCell ref="B18:D18"/>
  </mergeCells>
  <pageMargins left="0.25" right="0.25" top="0.25" bottom="1" header="0.511811023622047" footer="0.511811023622047"/>
  <pageSetup scale="80" fitToHeight="5" orientation="portrait" r:id="rId1"/>
  <headerFooter alignWithMargins="0">
    <oddFooter>&amp;L&amp;Z&amp;F
&amp;A&amp;R&amp;D
&amp;T</oddFooter>
  </headerFooter>
  <rowBreaks count="1" manualBreakCount="1">
    <brk id="105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3"/>
  <sheetViews>
    <sheetView workbookViewId="0">
      <selection activeCell="D33" sqref="D33"/>
    </sheetView>
  </sheetViews>
  <sheetFormatPr defaultRowHeight="12.5" x14ac:dyDescent="0.25"/>
  <cols>
    <col min="1" max="1" width="32.7265625" customWidth="1"/>
    <col min="2" max="5" width="19.453125" style="25" bestFit="1" customWidth="1"/>
    <col min="6" max="11" width="19.453125" style="25" customWidth="1"/>
    <col min="12" max="13" width="19.453125" style="162" bestFit="1" customWidth="1"/>
    <col min="14" max="14" width="14.81640625" bestFit="1" customWidth="1"/>
    <col min="15" max="15" width="13.54296875" bestFit="1" customWidth="1"/>
    <col min="17" max="19" width="15.1796875" bestFit="1" customWidth="1"/>
  </cols>
  <sheetData>
    <row r="1" spans="1:15" ht="15.5" x14ac:dyDescent="0.35">
      <c r="A1" s="45" t="s">
        <v>158</v>
      </c>
      <c r="M1" s="174"/>
      <c r="N1" s="13"/>
    </row>
    <row r="2" spans="1:15" x14ac:dyDescent="0.25">
      <c r="D2" s="156"/>
    </row>
    <row r="3" spans="1:15" ht="13" x14ac:dyDescent="0.3">
      <c r="B3" s="144" t="s">
        <v>123</v>
      </c>
      <c r="C3" s="144" t="s">
        <v>126</v>
      </c>
      <c r="D3" s="144" t="s">
        <v>128</v>
      </c>
      <c r="E3" s="144" t="s">
        <v>131</v>
      </c>
      <c r="F3" s="144" t="s">
        <v>160</v>
      </c>
      <c r="G3" s="144" t="s">
        <v>169</v>
      </c>
      <c r="H3" s="144" t="s">
        <v>170</v>
      </c>
      <c r="I3" s="144" t="s">
        <v>171</v>
      </c>
      <c r="J3" s="144" t="s">
        <v>172</v>
      </c>
      <c r="K3" s="144" t="s">
        <v>173</v>
      </c>
      <c r="L3" s="163" t="s">
        <v>174</v>
      </c>
      <c r="M3" s="163" t="s">
        <v>175</v>
      </c>
    </row>
    <row r="4" spans="1:15" ht="13" x14ac:dyDescent="0.3">
      <c r="A4" s="13" t="s">
        <v>50</v>
      </c>
      <c r="B4" s="23">
        <f>+'Purchased Power Model'!B174</f>
        <v>592105953.84615386</v>
      </c>
      <c r="C4" s="150">
        <f>'Purchased Power Model'!B175</f>
        <v>593738607.69230771</v>
      </c>
      <c r="D4" s="150">
        <f>'Purchased Power Model'!B176</f>
        <v>572612692.67601395</v>
      </c>
      <c r="E4" s="150">
        <f>'Purchased Power Model'!B177</f>
        <v>573172084.77666664</v>
      </c>
      <c r="F4" s="150">
        <f>+'Purchased Power Model'!B178</f>
        <v>561189731.7228204</v>
      </c>
      <c r="G4" s="150">
        <f>+'Purchased Power Model'!B179</f>
        <v>538323195.74000001</v>
      </c>
      <c r="H4" s="150">
        <f>+'Purchased Power Model'!B180</f>
        <v>508987624.24000013</v>
      </c>
      <c r="I4" s="150">
        <f>+'Purchased Power Model'!B181</f>
        <v>500698339.18000001</v>
      </c>
      <c r="J4" s="150">
        <f>+'Purchased Power Model'!B182</f>
        <v>514889565.40999997</v>
      </c>
      <c r="K4" s="150">
        <f>+'Purchased Power Model'!B183</f>
        <v>514147823.86999995</v>
      </c>
      <c r="L4" s="164"/>
      <c r="M4" s="164"/>
    </row>
    <row r="5" spans="1:15" ht="13" x14ac:dyDescent="0.3">
      <c r="A5" s="13" t="s">
        <v>51</v>
      </c>
      <c r="B5" s="23">
        <f>+'Purchased Power Model'!H174</f>
        <v>0</v>
      </c>
      <c r="C5" s="150">
        <f>'Purchased Power Model'!H175</f>
        <v>0</v>
      </c>
      <c r="D5" s="150">
        <f>'Purchased Power Model'!H176</f>
        <v>0</v>
      </c>
      <c r="E5" s="21">
        <f>'Purchased Power Model'!H177</f>
        <v>0</v>
      </c>
      <c r="F5" s="21">
        <f>+'Purchased Power Model'!H178</f>
        <v>0</v>
      </c>
      <c r="G5" s="21">
        <f>+'Purchased Power Model'!H179</f>
        <v>514903442.02267593</v>
      </c>
      <c r="H5" s="21">
        <f>+'Purchased Power Model'!H180</f>
        <v>513927826.56305665</v>
      </c>
      <c r="I5" s="21">
        <f>+'Purchased Power Model'!H181</f>
        <v>507121218.68637317</v>
      </c>
      <c r="J5" s="21">
        <f>+'Purchased Power Model'!H182</f>
        <v>524508322.63358557</v>
      </c>
      <c r="K5" s="21">
        <f>+'Purchased Power Model'!H183</f>
        <v>516585738.53430808</v>
      </c>
      <c r="L5" s="282">
        <f>+'Rate Class Energy Model'!C21</f>
        <v>513771070.57435787</v>
      </c>
      <c r="M5" s="282">
        <f>+'Rate Class Energy Model'!C22</f>
        <v>512910056.40893781</v>
      </c>
      <c r="N5" s="56"/>
    </row>
    <row r="6" spans="1:15" ht="13" x14ac:dyDescent="0.3">
      <c r="A6" s="13" t="s">
        <v>9</v>
      </c>
      <c r="B6" s="37">
        <f t="shared" ref="B6:E6" si="0">(B5-B4)/B4</f>
        <v>-1</v>
      </c>
      <c r="C6" s="151">
        <f t="shared" si="0"/>
        <v>-1</v>
      </c>
      <c r="D6" s="151">
        <f t="shared" si="0"/>
        <v>-1</v>
      </c>
      <c r="E6" s="151">
        <f t="shared" si="0"/>
        <v>-1</v>
      </c>
      <c r="F6" s="151">
        <f t="shared" ref="F6:K6" si="1">(F5-F4)/F4</f>
        <v>-1</v>
      </c>
      <c r="G6" s="151">
        <f t="shared" si="1"/>
        <v>-4.3505005733833139E-2</v>
      </c>
      <c r="H6" s="151">
        <f t="shared" si="1"/>
        <v>9.7059379988521932E-3</v>
      </c>
      <c r="I6" s="151">
        <f t="shared" si="1"/>
        <v>1.2827842642522038E-2</v>
      </c>
      <c r="J6" s="151">
        <f t="shared" si="1"/>
        <v>1.8681204416963301E-2</v>
      </c>
      <c r="K6" s="151">
        <f t="shared" si="1"/>
        <v>4.741660960378871E-3</v>
      </c>
      <c r="L6" s="165"/>
      <c r="M6" s="165"/>
      <c r="N6" s="56"/>
    </row>
    <row r="7" spans="1:15" ht="13" x14ac:dyDescent="0.3">
      <c r="A7" s="13"/>
      <c r="B7" s="145"/>
      <c r="C7" s="27"/>
      <c r="D7" s="21"/>
      <c r="E7" s="21"/>
      <c r="F7" s="21"/>
      <c r="G7" s="21"/>
      <c r="H7" s="21"/>
      <c r="I7" s="21"/>
      <c r="J7" s="21"/>
      <c r="K7" s="21"/>
      <c r="L7" s="165"/>
      <c r="M7" s="165"/>
      <c r="N7" s="56"/>
    </row>
    <row r="8" spans="1:15" s="25" customFormat="1" ht="13" x14ac:dyDescent="0.3">
      <c r="A8" s="13" t="s">
        <v>181</v>
      </c>
      <c r="B8" s="145"/>
      <c r="C8" s="27"/>
      <c r="D8" s="47"/>
      <c r="E8" s="47"/>
      <c r="F8" s="47"/>
      <c r="G8" s="47"/>
      <c r="H8" s="47"/>
      <c r="I8" s="47"/>
      <c r="J8" s="47"/>
      <c r="K8" s="47"/>
      <c r="L8" s="21">
        <f>+L14*'Rate Class Energy Model'!$F$26</f>
        <v>-2747417.3402550886</v>
      </c>
      <c r="M8" s="21">
        <f>+M14*'Rate Class Energy Model'!$F$26</f>
        <v>-2747417.3402550886</v>
      </c>
      <c r="N8" s="145"/>
    </row>
    <row r="9" spans="1:15" ht="13" x14ac:dyDescent="0.3">
      <c r="A9" s="13"/>
      <c r="B9" s="145"/>
      <c r="C9" s="27"/>
      <c r="D9" s="47"/>
      <c r="E9" s="47"/>
      <c r="F9" s="47"/>
      <c r="G9" s="47"/>
      <c r="H9" s="47"/>
      <c r="I9" s="47"/>
      <c r="J9" s="47"/>
      <c r="K9" s="47"/>
      <c r="L9" s="165"/>
      <c r="M9" s="165"/>
      <c r="N9" s="56"/>
    </row>
    <row r="10" spans="1:15" ht="13" x14ac:dyDescent="0.3">
      <c r="A10" s="13" t="s">
        <v>63</v>
      </c>
      <c r="B10" s="145"/>
      <c r="C10" s="27"/>
      <c r="D10" s="21"/>
      <c r="E10" s="21"/>
      <c r="F10" s="21"/>
      <c r="G10" s="21"/>
      <c r="H10" s="21"/>
      <c r="I10" s="21"/>
      <c r="J10" s="21"/>
      <c r="K10" s="21"/>
      <c r="L10" s="165">
        <f>+L8+L5</f>
        <v>511023653.23410279</v>
      </c>
      <c r="M10" s="165">
        <f>+M8+M5</f>
        <v>510162639.06868273</v>
      </c>
      <c r="N10" s="58"/>
    </row>
    <row r="11" spans="1:15" ht="13" x14ac:dyDescent="0.3">
      <c r="A11" s="13"/>
      <c r="B11" s="145"/>
      <c r="C11" s="27"/>
      <c r="D11" s="150"/>
      <c r="E11" s="150"/>
      <c r="F11" s="150"/>
      <c r="G11" s="150"/>
      <c r="H11" s="150"/>
      <c r="I11" s="150"/>
      <c r="J11" s="150"/>
      <c r="K11" s="150"/>
      <c r="L11" s="286"/>
      <c r="M11" s="166"/>
      <c r="N11" s="57"/>
    </row>
    <row r="12" spans="1:15" ht="13" x14ac:dyDescent="0.3">
      <c r="A12" s="13" t="s">
        <v>53</v>
      </c>
      <c r="B12" s="23">
        <f>+'Rate Class Energy Model'!G11</f>
        <v>566701778.33999741</v>
      </c>
      <c r="C12" s="23">
        <f>+'Rate Class Energy Model'!G12</f>
        <v>564905304.29000294</v>
      </c>
      <c r="D12" s="21">
        <f>+'Rate Class Energy Model'!G13</f>
        <v>548341092.05000055</v>
      </c>
      <c r="E12" s="21">
        <f>+'Rate Class Energy Model'!G14</f>
        <v>548196762.3900007</v>
      </c>
      <c r="F12" s="21">
        <f>+'Rate Class Energy Model'!G15</f>
        <v>537983045.77000117</v>
      </c>
      <c r="G12" s="21">
        <f>+'Rate Class Energy Model'!G16</f>
        <v>516728999.29000038</v>
      </c>
      <c r="H12" s="21">
        <f>+'Rate Class Energy Model'!G17</f>
        <v>488765497.17000061</v>
      </c>
      <c r="I12" s="21">
        <f>+'Rate Class Energy Model'!G18</f>
        <v>482398546.16000038</v>
      </c>
      <c r="J12" s="21">
        <f>+'Rate Class Energy Model'!G19</f>
        <v>496980971.10999972</v>
      </c>
      <c r="K12" s="21">
        <f>+'Rate Class Energy Model'!G20</f>
        <v>495761810.37999994</v>
      </c>
      <c r="L12" s="282">
        <f>+'Rate Class Energy Model'!G21</f>
        <v>494560346.33527142</v>
      </c>
      <c r="M12" s="282">
        <f>+'Rate Class Energy Model'!G22</f>
        <v>493731526.87026399</v>
      </c>
      <c r="N12" s="56"/>
    </row>
    <row r="13" spans="1:15" ht="13" x14ac:dyDescent="0.3">
      <c r="A13" s="13"/>
      <c r="B13" s="145"/>
      <c r="C13" s="27"/>
      <c r="D13" s="21"/>
      <c r="E13" s="21"/>
      <c r="F13" s="21"/>
      <c r="G13" s="21"/>
      <c r="H13" s="21"/>
      <c r="I13" s="21"/>
      <c r="J13" s="21"/>
      <c r="K13" s="21"/>
      <c r="L13" s="165"/>
      <c r="M13" s="165"/>
      <c r="N13" s="56"/>
    </row>
    <row r="14" spans="1:15" ht="13" x14ac:dyDescent="0.3">
      <c r="A14" s="13" t="s">
        <v>242</v>
      </c>
      <c r="B14" s="145"/>
      <c r="C14" s="27"/>
      <c r="D14" s="120"/>
      <c r="E14" s="120"/>
      <c r="F14" s="120"/>
      <c r="G14" s="120"/>
      <c r="H14" s="120"/>
      <c r="I14" s="120"/>
      <c r="J14" s="120"/>
      <c r="K14" s="120"/>
      <c r="L14" s="167">
        <f>-'Rate Class Energy Model'!O83</f>
        <v>-2644687</v>
      </c>
      <c r="M14" s="167">
        <f>-'Rate Class Energy Model'!O84</f>
        <v>-2644687</v>
      </c>
      <c r="N14" s="56"/>
    </row>
    <row r="15" spans="1:15" s="25" customFormat="1" ht="13" x14ac:dyDescent="0.3">
      <c r="A15" s="209"/>
      <c r="B15" s="145"/>
      <c r="C15" s="27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45"/>
    </row>
    <row r="16" spans="1:15" s="209" customFormat="1" ht="13" x14ac:dyDescent="0.3">
      <c r="A16" s="209" t="s">
        <v>64</v>
      </c>
      <c r="B16" s="252"/>
      <c r="C16" s="252"/>
      <c r="D16" s="252"/>
      <c r="E16" s="252"/>
      <c r="F16" s="252"/>
      <c r="G16" s="252"/>
      <c r="H16" s="252"/>
      <c r="I16" s="252"/>
      <c r="J16" s="252"/>
      <c r="K16" s="252"/>
      <c r="L16" s="167">
        <f>+L12+L14+L15</f>
        <v>491915659.33527142</v>
      </c>
      <c r="M16" s="167">
        <f>+M12+M14+M15</f>
        <v>491086839.87026399</v>
      </c>
      <c r="N16" s="285">
        <f>+L16-L53</f>
        <v>0</v>
      </c>
      <c r="O16" s="285">
        <f>+M16-M53</f>
        <v>0</v>
      </c>
    </row>
    <row r="17" spans="1:19" ht="13" x14ac:dyDescent="0.3">
      <c r="A17" s="13"/>
      <c r="B17" s="145"/>
      <c r="C17" s="27"/>
      <c r="D17" s="150"/>
      <c r="E17" s="150"/>
      <c r="F17" s="150"/>
      <c r="G17" s="150"/>
      <c r="H17" s="150"/>
      <c r="I17" s="150"/>
      <c r="J17" s="150"/>
      <c r="K17" s="150"/>
      <c r="L17" s="166"/>
      <c r="M17" s="166"/>
      <c r="N17" s="57"/>
    </row>
    <row r="18" spans="1:19" ht="15.5" x14ac:dyDescent="0.35">
      <c r="A18" s="36" t="s">
        <v>52</v>
      </c>
      <c r="B18" s="145"/>
      <c r="C18" s="145"/>
      <c r="D18" s="159"/>
      <c r="E18" s="195"/>
      <c r="F18" s="195"/>
      <c r="G18" s="195"/>
      <c r="H18" s="195"/>
      <c r="I18" s="195"/>
      <c r="J18" s="195"/>
      <c r="K18" s="195"/>
      <c r="L18" s="168"/>
      <c r="M18" s="168"/>
      <c r="N18" s="56"/>
    </row>
    <row r="19" spans="1:19" ht="13" x14ac:dyDescent="0.3">
      <c r="A19" s="35" t="str">
        <f>'Rate Class Energy Model'!H2</f>
        <v xml:space="preserve">Residential </v>
      </c>
      <c r="B19" s="145"/>
      <c r="C19" s="145"/>
      <c r="D19" s="145"/>
      <c r="E19" s="145"/>
      <c r="F19" s="145"/>
      <c r="G19" s="145"/>
      <c r="H19" s="145"/>
      <c r="I19" s="145"/>
      <c r="J19" s="145"/>
      <c r="K19" s="145"/>
      <c r="L19" s="169"/>
      <c r="M19" s="169"/>
      <c r="N19" s="56"/>
    </row>
    <row r="20" spans="1:19" ht="13" x14ac:dyDescent="0.3">
      <c r="A20" t="s">
        <v>44</v>
      </c>
      <c r="B20" s="21">
        <f>'Rate Class Customer Model'!B14</f>
        <v>20952</v>
      </c>
      <c r="C20" s="21">
        <f>'Rate Class Customer Model'!B15</f>
        <v>21096</v>
      </c>
      <c r="D20" s="21">
        <f>'Rate Class Customer Model'!B16</f>
        <v>21074</v>
      </c>
      <c r="E20" s="120">
        <f>+'Rate Class Customer Model'!B17</f>
        <v>21108</v>
      </c>
      <c r="F20" s="120">
        <f>+'Rate Class Customer Model'!B18</f>
        <v>21117</v>
      </c>
      <c r="G20" s="120">
        <f>+'Rate Class Customer Model'!B19</f>
        <v>21122</v>
      </c>
      <c r="H20" s="120">
        <f>+'Rate Class Customer Model'!B20</f>
        <v>21173</v>
      </c>
      <c r="I20" s="120">
        <f>+'Rate Class Customer Model'!B21</f>
        <v>21192</v>
      </c>
      <c r="J20" s="120">
        <f>+'Rate Class Customer Model'!B22</f>
        <v>21229</v>
      </c>
      <c r="K20" s="120">
        <f>+'Rate Class Customer Model'!B23</f>
        <v>21280</v>
      </c>
      <c r="L20" s="282">
        <f>+'Rate Class Customer Model'!B24</f>
        <v>21316</v>
      </c>
      <c r="M20" s="282">
        <f>+'Rate Class Customer Model'!B25</f>
        <v>21352</v>
      </c>
      <c r="N20" s="120"/>
    </row>
    <row r="21" spans="1:19" ht="13" x14ac:dyDescent="0.3">
      <c r="A21" t="s">
        <v>45</v>
      </c>
      <c r="B21" s="21">
        <f>'Rate Class Energy Model'!H11</f>
        <v>206535117.74999696</v>
      </c>
      <c r="C21" s="21">
        <f>'Rate Class Energy Model'!H12</f>
        <v>207358082.23000044</v>
      </c>
      <c r="D21" s="21">
        <f>'Rate Class Energy Model'!H13</f>
        <v>200614424.25000054</v>
      </c>
      <c r="E21" s="120">
        <f>'Rate Class Energy Model'!H14</f>
        <v>207806639.26000017</v>
      </c>
      <c r="F21" s="120">
        <f>+'Rate Class Energy Model'!H15</f>
        <v>205950079.75000036</v>
      </c>
      <c r="G21" s="120">
        <f>+'Rate Class Energy Model'!H16</f>
        <v>196730100.79999995</v>
      </c>
      <c r="H21" s="120">
        <f>+'Rate Class Energy Model'!H17</f>
        <v>188194721.51000041</v>
      </c>
      <c r="I21" s="120">
        <f>+'Rate Class Energy Model'!H18</f>
        <v>184546623.13000023</v>
      </c>
      <c r="J21" s="120">
        <f>+'Rate Class Energy Model'!H19</f>
        <v>196784129.94999957</v>
      </c>
      <c r="K21" s="120">
        <f>+'Rate Class Energy Model'!H20</f>
        <v>197847017.74999991</v>
      </c>
      <c r="L21" s="282">
        <f>+'Rate Class Energy Model'!H71</f>
        <v>199682216.91900477</v>
      </c>
      <c r="M21" s="282">
        <f>'Rate Class Energy Model'!H72</f>
        <v>201705111.05903772</v>
      </c>
      <c r="N21" s="120"/>
      <c r="O21" s="56"/>
    </row>
    <row r="22" spans="1:19" x14ac:dyDescent="0.25">
      <c r="B22" s="27"/>
      <c r="C22" s="47"/>
      <c r="D22" s="27"/>
      <c r="E22" s="26"/>
      <c r="F22" s="26"/>
      <c r="G22" s="26"/>
      <c r="H22" s="26"/>
      <c r="I22" s="26"/>
      <c r="J22" s="26"/>
      <c r="K22" s="26"/>
      <c r="L22" s="173"/>
      <c r="M22" s="173"/>
      <c r="N22" s="56"/>
      <c r="O22" s="56"/>
      <c r="Q22" s="42"/>
      <c r="R22" s="42"/>
      <c r="S22" s="42"/>
    </row>
    <row r="23" spans="1:19" ht="13" x14ac:dyDescent="0.3">
      <c r="A23" s="35" t="str">
        <f>'Rate Class Energy Model'!I2</f>
        <v>General Service &lt; 50 kW</v>
      </c>
      <c r="B23" s="27"/>
      <c r="C23" s="27"/>
      <c r="D23" s="27"/>
      <c r="E23" s="26"/>
      <c r="F23" s="26"/>
      <c r="G23" s="26"/>
      <c r="H23" s="26"/>
      <c r="I23" s="26"/>
      <c r="J23" s="26"/>
      <c r="K23" s="26"/>
      <c r="L23" s="173"/>
      <c r="M23" s="173"/>
      <c r="N23" s="56"/>
      <c r="O23" s="56"/>
    </row>
    <row r="24" spans="1:19" ht="13" x14ac:dyDescent="0.3">
      <c r="A24" t="s">
        <v>44</v>
      </c>
      <c r="B24" s="21">
        <f>'Rate Class Customer Model'!C14</f>
        <v>2633</v>
      </c>
      <c r="C24" s="21">
        <f>'Rate Class Customer Model'!C15</f>
        <v>2623</v>
      </c>
      <c r="D24" s="21">
        <f>'Rate Class Customer Model'!C16</f>
        <v>2645</v>
      </c>
      <c r="E24" s="120">
        <f>'Rate Class Customer Model'!C17</f>
        <v>2649</v>
      </c>
      <c r="F24" s="120">
        <f>+'Rate Class Customer Model'!C18</f>
        <v>2657</v>
      </c>
      <c r="G24" s="120">
        <f>+'Rate Class Customer Model'!C19</f>
        <v>2646</v>
      </c>
      <c r="H24" s="120">
        <f>+'Rate Class Customer Model'!C20</f>
        <v>2659</v>
      </c>
      <c r="I24" s="120">
        <f>+'Rate Class Customer Model'!C21</f>
        <v>2653</v>
      </c>
      <c r="J24" s="120">
        <f>+'Rate Class Customer Model'!C22</f>
        <v>2654</v>
      </c>
      <c r="K24" s="120">
        <f>+'Rate Class Customer Model'!C23</f>
        <v>2653</v>
      </c>
      <c r="L24" s="282">
        <f>+'Rate Class Customer Model'!C24</f>
        <v>2651</v>
      </c>
      <c r="M24" s="282">
        <f>+'Rate Class Customer Model'!C25</f>
        <v>2649</v>
      </c>
      <c r="N24" s="120"/>
      <c r="O24" s="56"/>
    </row>
    <row r="25" spans="1:19" ht="13" x14ac:dyDescent="0.3">
      <c r="A25" t="s">
        <v>45</v>
      </c>
      <c r="B25" s="21">
        <f>'Rate Class Energy Model'!I11</f>
        <v>85042099.07000047</v>
      </c>
      <c r="C25" s="21">
        <f>'Rate Class Energy Model'!I12</f>
        <v>85023143.980002552</v>
      </c>
      <c r="D25" s="21">
        <f>'Rate Class Energy Model'!I13</f>
        <v>84948670.560000002</v>
      </c>
      <c r="E25" s="120">
        <f>'Rate Class Energy Model'!I14</f>
        <v>85119330.710000545</v>
      </c>
      <c r="F25" s="120">
        <f>+'Rate Class Energy Model'!I15</f>
        <v>85369054.680000916</v>
      </c>
      <c r="G25" s="120">
        <f>+'Rate Class Energy Model'!I16</f>
        <v>83568205.870000467</v>
      </c>
      <c r="H25" s="120">
        <f>+'Rate Class Energy Model'!I17</f>
        <v>80643102.520000204</v>
      </c>
      <c r="I25" s="120">
        <f>+'Rate Class Energy Model'!I18</f>
        <v>78774627.370000109</v>
      </c>
      <c r="J25" s="120">
        <f>+'Rate Class Energy Model'!I19</f>
        <v>81814082.000000045</v>
      </c>
      <c r="K25" s="120">
        <f>+'Rate Class Energy Model'!I20</f>
        <v>80410230.090000004</v>
      </c>
      <c r="L25" s="282">
        <f>+'Rate Class Energy Model'!I71</f>
        <v>79636963.846008897</v>
      </c>
      <c r="M25" s="282">
        <f>+'Rate Class Energy Model'!I72</f>
        <v>79035853.179389015</v>
      </c>
      <c r="N25" s="120"/>
      <c r="O25" s="56"/>
    </row>
    <row r="26" spans="1:19" x14ac:dyDescent="0.25">
      <c r="B26" s="27"/>
      <c r="C26" s="27"/>
      <c r="D26" s="27"/>
      <c r="E26" s="26"/>
      <c r="F26" s="26"/>
      <c r="G26" s="26"/>
      <c r="H26" s="26"/>
      <c r="I26" s="26"/>
      <c r="J26" s="26"/>
      <c r="K26" s="26"/>
      <c r="L26" s="173"/>
      <c r="M26" s="173"/>
      <c r="N26" s="56"/>
      <c r="O26" s="56"/>
    </row>
    <row r="27" spans="1:19" ht="13" x14ac:dyDescent="0.3">
      <c r="A27" s="35" t="str">
        <f>'Rate Class Energy Model'!J2</f>
        <v>General Service 50 to 2999 kW</v>
      </c>
      <c r="B27" s="27"/>
      <c r="C27" s="27"/>
      <c r="D27" s="27"/>
      <c r="E27" s="26"/>
      <c r="F27" s="26"/>
      <c r="G27" s="26"/>
      <c r="H27" s="26"/>
      <c r="I27" s="26"/>
      <c r="J27" s="26"/>
      <c r="K27" s="26"/>
      <c r="L27" s="173"/>
      <c r="M27" s="173"/>
      <c r="N27" s="56"/>
      <c r="O27" s="56"/>
    </row>
    <row r="28" spans="1:19" ht="13" x14ac:dyDescent="0.3">
      <c r="A28" t="s">
        <v>44</v>
      </c>
      <c r="B28" s="21">
        <f>'Rate Class Customer Model'!D14</f>
        <v>269</v>
      </c>
      <c r="C28" s="21">
        <f>'Rate Class Customer Model'!D15</f>
        <v>268</v>
      </c>
      <c r="D28" s="21">
        <f>'Rate Class Customer Model'!D16</f>
        <v>254</v>
      </c>
      <c r="E28" s="120">
        <f>'Rate Class Customer Model'!D17</f>
        <v>255</v>
      </c>
      <c r="F28" s="120">
        <f>+'Rate Class Customer Model'!D18</f>
        <v>252</v>
      </c>
      <c r="G28" s="120">
        <f>+'Rate Class Customer Model'!D19</f>
        <v>254</v>
      </c>
      <c r="H28" s="120">
        <f>+'Rate Class Customer Model'!D20</f>
        <v>253</v>
      </c>
      <c r="I28" s="120">
        <f>+'Rate Class Customer Model'!D21</f>
        <v>261</v>
      </c>
      <c r="J28" s="120">
        <f>+'Rate Class Customer Model'!D22</f>
        <v>258</v>
      </c>
      <c r="K28" s="120">
        <f>+'Rate Class Customer Model'!D23</f>
        <v>263</v>
      </c>
      <c r="L28" s="282">
        <f>+'Rate Class Customer Model'!D24</f>
        <v>266</v>
      </c>
      <c r="M28" s="282">
        <f>+'Rate Class Customer Model'!D25</f>
        <v>269</v>
      </c>
      <c r="N28" s="120"/>
      <c r="O28" s="56"/>
    </row>
    <row r="29" spans="1:19" ht="13" x14ac:dyDescent="0.3">
      <c r="A29" t="s">
        <v>45</v>
      </c>
      <c r="B29" s="21">
        <f>'Rate Class Energy Model'!J11</f>
        <v>230037736.63</v>
      </c>
      <c r="C29" s="21">
        <f>'Rate Class Energy Model'!J12</f>
        <v>231667366.05000007</v>
      </c>
      <c r="D29" s="21">
        <f>'Rate Class Energy Model'!J13</f>
        <v>223688452.94999999</v>
      </c>
      <c r="E29" s="120">
        <f>'Rate Class Energy Model'!J14</f>
        <v>216614453.60999995</v>
      </c>
      <c r="F29" s="120">
        <f>+'Rate Class Energy Model'!J15</f>
        <v>217236187.44</v>
      </c>
      <c r="G29" s="120">
        <f>+'Rate Class Energy Model'!J16</f>
        <v>216238874.38999999</v>
      </c>
      <c r="H29" s="120">
        <f>+'Rate Class Energy Model'!J17</f>
        <v>200880475.03000003</v>
      </c>
      <c r="I29" s="120">
        <f>+'Rate Class Energy Model'!J18</f>
        <v>200346165.47999999</v>
      </c>
      <c r="J29" s="120">
        <f>+'Rate Class Energy Model'!J19</f>
        <v>199998668.12000006</v>
      </c>
      <c r="K29" s="120">
        <f>+'Rate Class Energy Model'!J20</f>
        <v>199953323.73000002</v>
      </c>
      <c r="L29" s="282">
        <f>+'Rate Class Energy Model'!J71</f>
        <v>195503598.31916356</v>
      </c>
      <c r="M29" s="282">
        <f>'Rate Class Energy Model'!J72</f>
        <v>193697533.49953446</v>
      </c>
      <c r="N29" s="120"/>
      <c r="O29" s="56"/>
      <c r="Q29" s="175"/>
    </row>
    <row r="30" spans="1:19" ht="13" x14ac:dyDescent="0.3">
      <c r="A30" t="s">
        <v>46</v>
      </c>
      <c r="B30" s="21">
        <f>'Rate Class Load Model'!B13</f>
        <v>588203.21</v>
      </c>
      <c r="C30" s="21">
        <f>'Rate Class Load Model'!B14</f>
        <v>582945.86</v>
      </c>
      <c r="D30" s="21">
        <f>'Rate Class Load Model'!B15</f>
        <v>540969</v>
      </c>
      <c r="E30" s="120">
        <f>+'Rate Class Load Model'!B16</f>
        <v>535312.51999999979</v>
      </c>
      <c r="F30" s="120">
        <f>+'Rate Class Load Model'!B17</f>
        <v>533378.05000000005</v>
      </c>
      <c r="G30" s="120">
        <f>+'Rate Class Load Model'!B18</f>
        <v>537897.68000000017</v>
      </c>
      <c r="H30" s="120">
        <f>+'Rate Class Load Model'!B19</f>
        <v>529360.3600000001</v>
      </c>
      <c r="I30" s="120">
        <f>+'Rate Class Load Model'!B20</f>
        <v>528741.1399999999</v>
      </c>
      <c r="J30" s="120">
        <f>+'Rate Class Load Model'!B21</f>
        <v>522247.32</v>
      </c>
      <c r="K30" s="120">
        <f>+'Rate Class Load Model'!B22</f>
        <v>523294.41</v>
      </c>
      <c r="L30" s="282">
        <f>+'Rate Class Load Model'!B23</f>
        <v>518926.85911675467</v>
      </c>
      <c r="M30" s="282">
        <f>+'Rate Class Load Model'!B24</f>
        <v>514190.46940316743</v>
      </c>
      <c r="N30" s="120"/>
      <c r="O30" s="157"/>
      <c r="Q30" s="175"/>
    </row>
    <row r="31" spans="1:19" x14ac:dyDescent="0.25">
      <c r="B31" s="27"/>
      <c r="C31" s="27"/>
      <c r="D31" s="27"/>
      <c r="E31" s="26"/>
      <c r="F31" s="26"/>
      <c r="G31" s="26"/>
      <c r="H31" s="26"/>
      <c r="I31" s="26"/>
      <c r="J31" s="26"/>
      <c r="K31" s="26"/>
      <c r="L31" s="173"/>
      <c r="M31" s="173"/>
      <c r="N31" s="158"/>
      <c r="O31" s="158"/>
      <c r="Q31" s="175"/>
    </row>
    <row r="32" spans="1:19" ht="13" x14ac:dyDescent="0.3">
      <c r="A32" s="35" t="str">
        <f>'Rate Class Energy Model'!K2</f>
        <v>General Service 3000 to 4999 kW</v>
      </c>
      <c r="B32" s="27"/>
      <c r="C32" s="27"/>
      <c r="D32" s="27"/>
      <c r="E32" s="26"/>
      <c r="F32" s="26"/>
      <c r="G32" s="26"/>
      <c r="H32" s="26"/>
      <c r="I32" s="26"/>
      <c r="J32" s="26"/>
      <c r="K32" s="26"/>
      <c r="L32" s="173"/>
      <c r="M32" s="173"/>
      <c r="N32" s="158"/>
      <c r="O32" s="158"/>
      <c r="Q32" s="175"/>
    </row>
    <row r="33" spans="1:19" ht="13" x14ac:dyDescent="0.3">
      <c r="A33" t="s">
        <v>44</v>
      </c>
      <c r="B33" s="21">
        <f>'Rate Class Customer Model'!E14</f>
        <v>2</v>
      </c>
      <c r="C33" s="21">
        <f>'Rate Class Customer Model'!E15</f>
        <v>2</v>
      </c>
      <c r="D33" s="21">
        <f>'Rate Class Customer Model'!E16</f>
        <v>2</v>
      </c>
      <c r="E33" s="120">
        <f>'Rate Class Customer Model'!E17</f>
        <v>2</v>
      </c>
      <c r="F33" s="120">
        <f>+'Rate Class Customer Model'!E18</f>
        <v>2</v>
      </c>
      <c r="G33" s="120">
        <f>+'Rate Class Customer Model'!E19</f>
        <v>1</v>
      </c>
      <c r="H33" s="120">
        <f>+'Rate Class Customer Model'!E20</f>
        <v>1</v>
      </c>
      <c r="I33" s="120">
        <f>+'Rate Class Customer Model'!E21</f>
        <v>1</v>
      </c>
      <c r="J33" s="120">
        <f>+'Rate Class Customer Model'!E22</f>
        <v>1</v>
      </c>
      <c r="K33" s="120">
        <f>+'Rate Class Customer Model'!E23</f>
        <v>1</v>
      </c>
      <c r="L33" s="282">
        <f>+'Rate Class Customer Model'!E24</f>
        <v>1</v>
      </c>
      <c r="M33" s="282">
        <f>+'Rate Class Customer Model'!E25</f>
        <v>1</v>
      </c>
      <c r="N33" s="120"/>
      <c r="O33" s="158"/>
      <c r="Q33" s="175"/>
    </row>
    <row r="34" spans="1:19" ht="13" x14ac:dyDescent="0.3">
      <c r="A34" t="s">
        <v>45</v>
      </c>
      <c r="B34" s="21">
        <f>'Rate Class Energy Model'!K11</f>
        <v>41028103.810000002</v>
      </c>
      <c r="C34" s="21">
        <f>'Rate Class Energy Model'!K12</f>
        <v>37086851.810000002</v>
      </c>
      <c r="D34" s="21">
        <f>'Rate Class Energy Model'!K13</f>
        <v>35722771.82</v>
      </c>
      <c r="E34" s="120">
        <f>'Rate Class Energy Model'!K14</f>
        <v>35775035.789999999</v>
      </c>
      <c r="F34" s="120">
        <f>+'Rate Class Energy Model'!K15</f>
        <v>26926555.820000004</v>
      </c>
      <c r="G34" s="120">
        <f>+'Rate Class Energy Model'!K16</f>
        <v>17738635.890000001</v>
      </c>
      <c r="H34" s="120">
        <f>+'Rate Class Energy Model'!K17</f>
        <v>16805471.899999999</v>
      </c>
      <c r="I34" s="120">
        <f>+'Rate Class Energy Model'!K18</f>
        <v>16522751.91</v>
      </c>
      <c r="J34" s="120">
        <f>+'Rate Class Energy Model'!K19</f>
        <v>16185719.91</v>
      </c>
      <c r="K34" s="120">
        <f>+'Rate Class Energy Model'!K20</f>
        <v>15352959.899999999</v>
      </c>
      <c r="L34" s="282">
        <f>+'Rate Class Energy Model'!K71</f>
        <v>14897243.509943135</v>
      </c>
      <c r="M34" s="282">
        <f>'Rate Class Energy Model'!K72</f>
        <v>14455053.985684082</v>
      </c>
      <c r="N34" s="120"/>
      <c r="O34" s="56"/>
      <c r="Q34" s="175"/>
      <c r="R34" s="54"/>
      <c r="S34" s="54"/>
    </row>
    <row r="35" spans="1:19" ht="13" x14ac:dyDescent="0.3">
      <c r="A35" t="s">
        <v>46</v>
      </c>
      <c r="B35" s="21">
        <f>'Rate Class Load Model'!C13</f>
        <v>78059.55</v>
      </c>
      <c r="C35" s="21">
        <f>'Rate Class Load Model'!C14</f>
        <v>70473.350000000006</v>
      </c>
      <c r="D35" s="21">
        <f>'Rate Class Load Model'!C15</f>
        <v>68480</v>
      </c>
      <c r="E35" s="120">
        <f>'Rate Class Load Model'!C16</f>
        <v>69448.33</v>
      </c>
      <c r="F35" s="120">
        <f>+'Rate Class Load Model'!C17</f>
        <v>54354.869999999995</v>
      </c>
      <c r="G35" s="120">
        <f>+'Rate Class Load Model'!C18</f>
        <v>39466.039999999994</v>
      </c>
      <c r="H35" s="120">
        <f>+'Rate Class Load Model'!C19</f>
        <v>35717.369999999995</v>
      </c>
      <c r="I35" s="120">
        <f>+'Rate Class Load Model'!C20</f>
        <v>30516.22</v>
      </c>
      <c r="J35" s="120">
        <f>+'Rate Class Load Model'!C21</f>
        <v>30271.190000000002</v>
      </c>
      <c r="K35" s="120">
        <f>+'Rate Class Load Model'!C22</f>
        <v>29275.15</v>
      </c>
      <c r="L35" s="282">
        <f>+'Rate Class Load Model'!C23</f>
        <v>27927.216521161627</v>
      </c>
      <c r="M35" s="282">
        <f>+'Rate Class Load Model'!C24</f>
        <v>27098.262991662719</v>
      </c>
      <c r="N35" s="120"/>
      <c r="O35" s="157"/>
      <c r="Q35" s="175"/>
    </row>
    <row r="36" spans="1:19" x14ac:dyDescent="0.25">
      <c r="B36" s="27"/>
      <c r="C36" s="27"/>
      <c r="D36" s="27"/>
      <c r="E36" s="26"/>
      <c r="F36" s="26"/>
      <c r="G36" s="26"/>
      <c r="H36" s="26"/>
      <c r="I36" s="26"/>
      <c r="J36" s="26"/>
      <c r="K36" s="26"/>
      <c r="L36" s="173"/>
      <c r="M36" s="173"/>
      <c r="N36" s="56"/>
      <c r="O36" s="56"/>
      <c r="Q36" s="175"/>
    </row>
    <row r="37" spans="1:19" s="25" customFormat="1" ht="13" x14ac:dyDescent="0.3">
      <c r="A37" s="155" t="str">
        <f>'Rate Class Energy Model'!L2</f>
        <v>Street Lighting</v>
      </c>
      <c r="B37" s="27"/>
      <c r="C37" s="27"/>
      <c r="D37" s="27"/>
      <c r="E37" s="26"/>
      <c r="F37" s="26"/>
      <c r="G37" s="26"/>
      <c r="H37" s="26"/>
      <c r="I37" s="26"/>
      <c r="J37" s="26"/>
      <c r="K37" s="26"/>
      <c r="L37" s="173"/>
      <c r="M37" s="173"/>
      <c r="N37" s="145"/>
      <c r="O37" s="145"/>
      <c r="Q37" s="119"/>
    </row>
    <row r="38" spans="1:19" s="25" customFormat="1" ht="13" x14ac:dyDescent="0.3">
      <c r="A38" s="25" t="s">
        <v>44</v>
      </c>
      <c r="B38" s="21">
        <f>'Rate Class Customer Model'!F14</f>
        <v>5572</v>
      </c>
      <c r="C38" s="21">
        <f>'Rate Class Customer Model'!F15</f>
        <v>5574</v>
      </c>
      <c r="D38" s="21">
        <f>'Rate Class Customer Model'!F16</f>
        <v>5574</v>
      </c>
      <c r="E38" s="120">
        <f>'Rate Class Customer Model'!F17</f>
        <v>5574</v>
      </c>
      <c r="F38" s="120">
        <f>+'Rate Class Customer Model'!F18</f>
        <v>5419</v>
      </c>
      <c r="G38" s="120">
        <f>+'Rate Class Customer Model'!F19</f>
        <v>5422</v>
      </c>
      <c r="H38" s="120">
        <f>+'Rate Class Customer Model'!F20</f>
        <v>5424</v>
      </c>
      <c r="I38" s="120">
        <f>+'Rate Class Customer Model'!F21</f>
        <v>5424</v>
      </c>
      <c r="J38" s="120">
        <f>+'Rate Class Customer Model'!F22</f>
        <v>5424</v>
      </c>
      <c r="K38" s="120">
        <f>+'Rate Class Customer Model'!F23</f>
        <v>5424</v>
      </c>
      <c r="L38" s="282">
        <f>+'Rate Class Customer Model'!F24</f>
        <v>5424</v>
      </c>
      <c r="M38" s="282">
        <f>+'Rate Class Customer Model'!F25</f>
        <v>5424</v>
      </c>
      <c r="N38" s="120"/>
      <c r="O38" s="145"/>
      <c r="Q38" s="119"/>
    </row>
    <row r="39" spans="1:19" s="25" customFormat="1" ht="13" x14ac:dyDescent="0.3">
      <c r="A39" s="25" t="s">
        <v>45</v>
      </c>
      <c r="B39" s="21">
        <f>'Rate Class Energy Model'!L11</f>
        <v>3324190.13</v>
      </c>
      <c r="C39" s="21">
        <f>'Rate Class Energy Model'!L12</f>
        <v>3204122.67</v>
      </c>
      <c r="D39" s="21">
        <f>'Rate Class Energy Model'!L13</f>
        <v>2790238.49</v>
      </c>
      <c r="E39" s="120">
        <f>+'Rate Class Energy Model'!L14</f>
        <v>2348268.23</v>
      </c>
      <c r="F39" s="120">
        <f>+'Rate Class Energy Model'!L15</f>
        <v>2026565.8900000001</v>
      </c>
      <c r="G39" s="120">
        <f>+'Rate Class Energy Model'!L16</f>
        <v>2036368.7200000002</v>
      </c>
      <c r="H39" s="120">
        <f>+'Rate Class Energy Model'!L17</f>
        <v>2042501.58</v>
      </c>
      <c r="I39" s="120">
        <f>+'Rate Class Energy Model'!L18</f>
        <v>2036368.7200000002</v>
      </c>
      <c r="J39" s="120">
        <f>+'Rate Class Energy Model'!L19</f>
        <v>2031595.1800000002</v>
      </c>
      <c r="K39" s="120">
        <f>+'Rate Class Energy Model'!L20</f>
        <v>2036368.7200000002</v>
      </c>
      <c r="L39" s="282">
        <f>+'Rate Class Energy Model'!L71</f>
        <v>2036368.7200000002</v>
      </c>
      <c r="M39" s="282">
        <f>+'Rate Class Energy Model'!L72</f>
        <v>2036368.7200000002</v>
      </c>
      <c r="N39" s="120"/>
      <c r="O39" s="56"/>
      <c r="Q39" s="119"/>
    </row>
    <row r="40" spans="1:19" s="25" customFormat="1" ht="13" x14ac:dyDescent="0.3">
      <c r="A40" s="25" t="s">
        <v>46</v>
      </c>
      <c r="B40" s="21">
        <f>'Rate Class Load Model'!D13</f>
        <v>9284.76</v>
      </c>
      <c r="C40" s="21">
        <f>'Rate Class Load Model'!D14</f>
        <v>9041.75</v>
      </c>
      <c r="D40" s="21">
        <f>'Rate Class Load Model'!D15</f>
        <v>7788</v>
      </c>
      <c r="E40" s="120">
        <f>+'Rate Class Load Model'!D16</f>
        <v>6559.4</v>
      </c>
      <c r="F40" s="120">
        <f>+'Rate Class Load Model'!D17</f>
        <v>5677.1200000000008</v>
      </c>
      <c r="G40" s="257">
        <f>+'Rate Class Load Model'!D18</f>
        <v>5690.27</v>
      </c>
      <c r="H40" s="120">
        <f>+'Rate Class Load Model'!D19</f>
        <v>5690.28</v>
      </c>
      <c r="I40" s="120">
        <f>+'Rate Class Load Model'!D20</f>
        <v>5690.28</v>
      </c>
      <c r="J40" s="120">
        <f>+'Rate Class Load Model'!D21</f>
        <v>5690.28</v>
      </c>
      <c r="K40" s="120">
        <f>+'Rate Class Load Model'!D22</f>
        <v>5690.28</v>
      </c>
      <c r="L40" s="282">
        <f>+'Rate Class Load Model'!D23</f>
        <v>5690.28</v>
      </c>
      <c r="M40" s="282">
        <f>+'Rate Class Load Model'!D24</f>
        <v>5690.28</v>
      </c>
      <c r="N40" s="120"/>
      <c r="O40" s="157"/>
    </row>
    <row r="41" spans="1:19" s="25" customFormat="1" x14ac:dyDescent="0.25">
      <c r="B41" s="27"/>
      <c r="C41" s="27"/>
      <c r="D41" s="27"/>
      <c r="E41" s="26"/>
      <c r="F41" s="26"/>
      <c r="G41" s="26"/>
      <c r="H41" s="26"/>
      <c r="I41" s="26"/>
      <c r="J41" s="26"/>
      <c r="K41" s="26"/>
      <c r="L41" s="173"/>
      <c r="M41" s="173"/>
      <c r="N41" s="145"/>
      <c r="O41" s="145"/>
    </row>
    <row r="42" spans="1:19" s="25" customFormat="1" ht="13" x14ac:dyDescent="0.3">
      <c r="A42" s="155" t="str">
        <f>'Rate Class Energy Model'!M2</f>
        <v>Sentinel Lighting</v>
      </c>
      <c r="B42" s="27"/>
      <c r="C42" s="27"/>
      <c r="D42" s="27"/>
      <c r="E42" s="26"/>
      <c r="F42" s="26"/>
      <c r="G42" s="26"/>
      <c r="H42" s="26"/>
      <c r="I42" s="26"/>
      <c r="J42" s="26"/>
      <c r="K42" s="26"/>
      <c r="L42" s="173"/>
      <c r="M42" s="173"/>
      <c r="N42" s="145"/>
      <c r="O42" s="145"/>
    </row>
    <row r="43" spans="1:19" s="25" customFormat="1" ht="13" x14ac:dyDescent="0.3">
      <c r="A43" s="25" t="s">
        <v>47</v>
      </c>
      <c r="B43" s="21">
        <f>'Rate Class Customer Model'!G14</f>
        <v>509</v>
      </c>
      <c r="C43" s="21">
        <f>'Rate Class Customer Model'!G15</f>
        <v>474</v>
      </c>
      <c r="D43" s="21">
        <f>'Rate Class Customer Model'!G16</f>
        <v>447</v>
      </c>
      <c r="E43" s="120">
        <f>'Rate Class Customer Model'!G17</f>
        <v>427</v>
      </c>
      <c r="F43" s="120">
        <f>+'Rate Class Customer Model'!G18</f>
        <v>427</v>
      </c>
      <c r="G43" s="120">
        <f>+'Rate Class Customer Model'!G19</f>
        <v>402</v>
      </c>
      <c r="H43" s="120">
        <f>+'Rate Class Customer Model'!G20</f>
        <v>444</v>
      </c>
      <c r="I43" s="120">
        <f>+'Rate Class Customer Model'!G21</f>
        <v>436</v>
      </c>
      <c r="J43" s="120">
        <f>+'Rate Class Customer Model'!G22</f>
        <v>425</v>
      </c>
      <c r="K43" s="120">
        <f>+'Rate Class Customer Model'!G23</f>
        <v>417</v>
      </c>
      <c r="L43" s="282">
        <f>+'Rate Class Customer Model'!G24</f>
        <v>408</v>
      </c>
      <c r="M43" s="282">
        <f>+'Rate Class Customer Model'!G25</f>
        <v>400</v>
      </c>
      <c r="N43" s="120"/>
      <c r="O43" s="145"/>
    </row>
    <row r="44" spans="1:19" s="25" customFormat="1" ht="13" x14ac:dyDescent="0.3">
      <c r="A44" s="25" t="s">
        <v>45</v>
      </c>
      <c r="B44" s="21">
        <f>'Rate Class Energy Model'!M11</f>
        <v>569407.56999999995</v>
      </c>
      <c r="C44" s="21">
        <f>'Rate Class Energy Model'!M12</f>
        <v>481664.12000000005</v>
      </c>
      <c r="D44" s="21">
        <f>'Rate Class Energy Model'!M13</f>
        <v>487759.49</v>
      </c>
      <c r="E44" s="120">
        <f>+'Rate Class Energy Model'!M14</f>
        <v>443950.62000000069</v>
      </c>
      <c r="F44" s="120">
        <f>+'Rate Class Energy Model'!M15</f>
        <v>423992.64000000048</v>
      </c>
      <c r="G44" s="120">
        <f>+'Rate Class Energy Model'!M16</f>
        <v>373880.03000000049</v>
      </c>
      <c r="H44" s="120">
        <f>+'Rate Class Energy Model'!M17</f>
        <v>156291.07</v>
      </c>
      <c r="I44" s="120">
        <f>+'Rate Class Energy Model'!M18</f>
        <v>129075.95999999989</v>
      </c>
      <c r="J44" s="120">
        <f>+'Rate Class Energy Model'!M19</f>
        <v>124703.3299999999</v>
      </c>
      <c r="K44" s="120">
        <f>+'Rate Class Energy Model'!M20</f>
        <v>122420.49</v>
      </c>
      <c r="L44" s="284">
        <f>'Rate Class Energy Model'!M71</f>
        <v>119778.32115107913</v>
      </c>
      <c r="M44" s="284">
        <f>+'Rate Class Energy Model'!M72</f>
        <v>117429.72661870504</v>
      </c>
      <c r="N44" s="120"/>
      <c r="O44" s="56"/>
    </row>
    <row r="45" spans="1:19" s="25" customFormat="1" ht="13" x14ac:dyDescent="0.3">
      <c r="A45" s="25" t="s">
        <v>46</v>
      </c>
      <c r="B45" s="21">
        <f>'Rate Class Load Model'!E13</f>
        <v>1541.04</v>
      </c>
      <c r="C45" s="21">
        <f>'Rate Class Load Model'!E14</f>
        <v>1286.7100000000016</v>
      </c>
      <c r="D45" s="21">
        <f>'Rate Class Load Model'!E15</f>
        <v>1601</v>
      </c>
      <c r="E45" s="120">
        <f>+'Rate Class Load Model'!E16</f>
        <v>1224.070000000002</v>
      </c>
      <c r="F45" s="120">
        <f>+'Rate Class Load Model'!E17</f>
        <v>1178.6100000000022</v>
      </c>
      <c r="G45" s="120">
        <f>+'Rate Class Load Model'!E18</f>
        <v>1033.7400000000014</v>
      </c>
      <c r="H45" s="120">
        <f>+'Rate Class Load Model'!E19</f>
        <v>406.11999999999938</v>
      </c>
      <c r="I45" s="120">
        <f>+'Rate Class Load Model'!E20</f>
        <v>329.73999999999944</v>
      </c>
      <c r="J45" s="120">
        <f>+'Rate Class Load Model'!E21</f>
        <v>315.71999999999952</v>
      </c>
      <c r="K45" s="120">
        <f>+'Rate Class Load Model'!E22</f>
        <v>310.34000000000003</v>
      </c>
      <c r="L45" s="282">
        <f>+'Rate Class Load Model'!E23</f>
        <v>304.29369952634471</v>
      </c>
      <c r="M45" s="282">
        <f>+'Rate Class Load Model'!E24</f>
        <v>298.32715639837716</v>
      </c>
      <c r="N45" s="120"/>
      <c r="O45" s="157"/>
    </row>
    <row r="46" spans="1:19" s="25" customFormat="1" x14ac:dyDescent="0.25">
      <c r="B46" s="27"/>
      <c r="C46" s="27"/>
      <c r="D46" s="27"/>
      <c r="E46" s="26"/>
      <c r="F46" s="26"/>
      <c r="G46" s="26"/>
      <c r="H46" s="26"/>
      <c r="I46" s="26"/>
      <c r="J46" s="26"/>
      <c r="K46" s="26"/>
      <c r="L46" s="283"/>
      <c r="M46" s="173"/>
      <c r="N46" s="145"/>
      <c r="O46" s="145"/>
    </row>
    <row r="47" spans="1:19" s="25" customFormat="1" ht="13" x14ac:dyDescent="0.3">
      <c r="A47" s="155" t="str">
        <f>'Rate Class Energy Model'!N2</f>
        <v xml:space="preserve">Unmetered Scattered Load </v>
      </c>
      <c r="B47" s="27"/>
      <c r="C47" s="27"/>
      <c r="D47" s="27"/>
      <c r="E47" s="26"/>
      <c r="F47" s="26"/>
      <c r="G47" s="26"/>
      <c r="H47" s="26"/>
      <c r="I47" s="26"/>
      <c r="J47" s="26"/>
      <c r="K47" s="26"/>
      <c r="L47" s="173"/>
      <c r="M47" s="173"/>
      <c r="N47" s="145"/>
      <c r="O47" s="145"/>
    </row>
    <row r="48" spans="1:19" s="25" customFormat="1" ht="13" x14ac:dyDescent="0.3">
      <c r="A48" s="25" t="s">
        <v>62</v>
      </c>
      <c r="B48" s="21">
        <f>'Rate Class Customer Model'!H14</f>
        <v>19</v>
      </c>
      <c r="C48" s="21">
        <f>'Rate Class Customer Model'!H15</f>
        <v>18</v>
      </c>
      <c r="D48" s="21">
        <f>'Rate Class Customer Model'!H16</f>
        <v>17</v>
      </c>
      <c r="E48" s="120">
        <f>'Rate Class Customer Model'!H17</f>
        <v>15</v>
      </c>
      <c r="F48" s="120">
        <f>+'Rate Class Customer Model'!H18</f>
        <v>11</v>
      </c>
      <c r="G48" s="120">
        <f>+'Rate Class Customer Model'!H19</f>
        <v>10</v>
      </c>
      <c r="H48" s="120">
        <f>+'Rate Class Customer Model'!H20</f>
        <v>10</v>
      </c>
      <c r="I48" s="120">
        <f>+'Rate Class Customer Model'!H21</f>
        <v>10</v>
      </c>
      <c r="J48" s="120">
        <f>+'Rate Class Customer Model'!H22</f>
        <v>10</v>
      </c>
      <c r="K48" s="120">
        <f>+'Rate Class Customer Model'!H23</f>
        <v>9</v>
      </c>
      <c r="L48" s="282">
        <f>+'Rate Class Customer Model'!H24</f>
        <v>9</v>
      </c>
      <c r="M48" s="282">
        <f>+'Rate Class Customer Model'!H25</f>
        <v>9</v>
      </c>
      <c r="N48" s="120"/>
      <c r="O48" s="27"/>
    </row>
    <row r="49" spans="1:15" s="25" customFormat="1" ht="13" x14ac:dyDescent="0.3">
      <c r="A49" s="25" t="s">
        <v>45</v>
      </c>
      <c r="B49" s="21">
        <f>'Rate Class Energy Model'!N11</f>
        <v>165123.38</v>
      </c>
      <c r="C49" s="21">
        <f>'Rate Class Energy Model'!N12</f>
        <v>84073.43</v>
      </c>
      <c r="D49" s="21">
        <f>'Rate Class Energy Model'!N13</f>
        <v>88774.489999999976</v>
      </c>
      <c r="E49" s="120">
        <f>+'Rate Class Energy Model'!N14</f>
        <v>89084.169999999984</v>
      </c>
      <c r="F49" s="120">
        <f>+'Rate Class Energy Model'!N15</f>
        <v>50609.549999999988</v>
      </c>
      <c r="G49" s="120">
        <f>+'Rate Class Energy Model'!N16</f>
        <v>42933.59</v>
      </c>
      <c r="H49" s="120">
        <f>+'Rate Class Energy Model'!N17</f>
        <v>42933.55999999999</v>
      </c>
      <c r="I49" s="120">
        <f>+'Rate Class Energy Model'!N18</f>
        <v>42933.589999999989</v>
      </c>
      <c r="J49" s="120">
        <f>+'Rate Class Energy Model'!N19</f>
        <v>42072.619999999988</v>
      </c>
      <c r="K49" s="120">
        <f>+'Rate Class Energy Model'!N20</f>
        <v>39489.699999999997</v>
      </c>
      <c r="L49" s="282">
        <f>+'Rate Class Energy Model'!N71</f>
        <v>39489.699999999997</v>
      </c>
      <c r="M49" s="282">
        <f>+'Rate Class Energy Model'!N72</f>
        <v>39489.699999999997</v>
      </c>
      <c r="N49" s="120"/>
      <c r="O49" s="56"/>
    </row>
    <row r="50" spans="1:15" s="25" customFormat="1" x14ac:dyDescent="0.25">
      <c r="B50" s="27"/>
      <c r="C50" s="27"/>
      <c r="D50" s="27"/>
      <c r="E50" s="26"/>
      <c r="F50" s="26"/>
      <c r="G50" s="26"/>
      <c r="H50" s="26"/>
      <c r="I50" s="26"/>
      <c r="J50" s="26"/>
      <c r="K50" s="26"/>
      <c r="L50" s="173"/>
      <c r="M50" s="173"/>
      <c r="N50" s="145"/>
      <c r="O50" s="145"/>
    </row>
    <row r="51" spans="1:15" ht="13" x14ac:dyDescent="0.3">
      <c r="A51" s="35" t="s">
        <v>10</v>
      </c>
      <c r="B51" s="27"/>
      <c r="C51" s="27"/>
      <c r="D51" s="27"/>
      <c r="E51" s="26"/>
      <c r="F51" s="26"/>
      <c r="G51" s="26"/>
      <c r="H51" s="26"/>
      <c r="I51" s="26"/>
      <c r="J51" s="26"/>
      <c r="K51" s="26"/>
      <c r="L51" s="173"/>
      <c r="M51" s="173"/>
      <c r="N51" s="56"/>
    </row>
    <row r="52" spans="1:15" x14ac:dyDescent="0.25">
      <c r="A52" t="s">
        <v>49</v>
      </c>
      <c r="B52" s="21">
        <f t="shared" ref="B52" si="2">B20+B24+B28+B33+B38+B43+B48</f>
        <v>29956</v>
      </c>
      <c r="C52" s="21">
        <f t="shared" ref="C52:E53" si="3">C20+C24+C28+C33+C38+C43+C48</f>
        <v>30055</v>
      </c>
      <c r="D52" s="21">
        <f t="shared" si="3"/>
        <v>30013</v>
      </c>
      <c r="E52" s="120">
        <f t="shared" si="3"/>
        <v>30030</v>
      </c>
      <c r="F52" s="120">
        <f t="shared" ref="F52:K52" si="4">F20+F24+F28+F33+F38+F43+F48</f>
        <v>29885</v>
      </c>
      <c r="G52" s="120">
        <f t="shared" si="4"/>
        <v>29857</v>
      </c>
      <c r="H52" s="120">
        <f t="shared" si="4"/>
        <v>29964</v>
      </c>
      <c r="I52" s="120">
        <f t="shared" si="4"/>
        <v>29977</v>
      </c>
      <c r="J52" s="120">
        <f t="shared" si="4"/>
        <v>30001</v>
      </c>
      <c r="K52" s="120">
        <f t="shared" si="4"/>
        <v>30047</v>
      </c>
      <c r="L52" s="167">
        <f>L20+L24+L28+L33+L38+L43+L48</f>
        <v>30075</v>
      </c>
      <c r="M52" s="167">
        <f>M20+M24+M28+M33+M38+M43+M48</f>
        <v>30104</v>
      </c>
      <c r="N52" s="120"/>
    </row>
    <row r="53" spans="1:15" x14ac:dyDescent="0.25">
      <c r="A53" t="s">
        <v>45</v>
      </c>
      <c r="B53" s="21">
        <f t="shared" ref="B53" si="5">B21+B25+B29+B34+B39+B44+B49</f>
        <v>566701778.33999741</v>
      </c>
      <c r="C53" s="21">
        <f t="shared" si="3"/>
        <v>564905304.29000294</v>
      </c>
      <c r="D53" s="21">
        <f t="shared" si="3"/>
        <v>548341092.05000055</v>
      </c>
      <c r="E53" s="120">
        <f t="shared" si="3"/>
        <v>548196762.3900007</v>
      </c>
      <c r="F53" s="120">
        <f t="shared" ref="F53:K53" si="6">F21+F25+F29+F34+F39+F44+F49</f>
        <v>537983045.77000117</v>
      </c>
      <c r="G53" s="120">
        <f t="shared" si="6"/>
        <v>516728999.29000038</v>
      </c>
      <c r="H53" s="120">
        <f t="shared" si="6"/>
        <v>488765497.17000061</v>
      </c>
      <c r="I53" s="120">
        <f t="shared" si="6"/>
        <v>482398546.16000038</v>
      </c>
      <c r="J53" s="120">
        <f t="shared" si="6"/>
        <v>496980971.10999972</v>
      </c>
      <c r="K53" s="120">
        <f t="shared" si="6"/>
        <v>495761810.37999994</v>
      </c>
      <c r="L53" s="167">
        <f>L21+L25+L29+L34+L39+L44+L49</f>
        <v>491915659.33527148</v>
      </c>
      <c r="M53" s="167">
        <f>M21+M25+M29+M34+M39+M44+M49</f>
        <v>491086839.87026399</v>
      </c>
      <c r="N53" s="120"/>
      <c r="O53" s="42"/>
    </row>
    <row r="54" spans="1:15" x14ac:dyDescent="0.25">
      <c r="A54" t="s">
        <v>48</v>
      </c>
      <c r="B54" s="21">
        <f t="shared" ref="B54:M54" si="7">B30+B35+B40+B45</f>
        <v>677088.56</v>
      </c>
      <c r="C54" s="21">
        <f t="shared" si="7"/>
        <v>663747.66999999993</v>
      </c>
      <c r="D54" s="21">
        <f t="shared" si="7"/>
        <v>618838</v>
      </c>
      <c r="E54" s="120">
        <f t="shared" si="7"/>
        <v>612544.31999999972</v>
      </c>
      <c r="F54" s="120">
        <f t="shared" ref="F54:K54" si="8">F30+F35+F40+F45</f>
        <v>594588.65</v>
      </c>
      <c r="G54" s="120">
        <f t="shared" si="8"/>
        <v>584087.73000000021</v>
      </c>
      <c r="H54" s="120">
        <f t="shared" si="8"/>
        <v>571174.13000000012</v>
      </c>
      <c r="I54" s="120">
        <f t="shared" si="8"/>
        <v>565277.37999999989</v>
      </c>
      <c r="J54" s="120">
        <f t="shared" si="8"/>
        <v>558524.51</v>
      </c>
      <c r="K54" s="120">
        <f t="shared" si="8"/>
        <v>558570.17999999993</v>
      </c>
      <c r="L54" s="167">
        <f t="shared" si="7"/>
        <v>552848.64933744271</v>
      </c>
      <c r="M54" s="167">
        <f t="shared" si="7"/>
        <v>547277.33955122845</v>
      </c>
      <c r="N54" s="120"/>
      <c r="O54" s="257"/>
    </row>
    <row r="55" spans="1:15" x14ac:dyDescent="0.25">
      <c r="B55" s="27"/>
      <c r="C55" s="27"/>
      <c r="D55" s="27"/>
      <c r="E55" s="26"/>
      <c r="F55" s="26"/>
      <c r="G55" s="26"/>
      <c r="H55" s="26"/>
      <c r="I55" s="26"/>
      <c r="J55" s="26"/>
      <c r="K55" s="26"/>
      <c r="L55" s="173"/>
      <c r="M55" s="173"/>
      <c r="N55" s="56"/>
    </row>
    <row r="56" spans="1:15" s="149" customFormat="1" x14ac:dyDescent="0.25">
      <c r="A56" s="149" t="s">
        <v>59</v>
      </c>
      <c r="B56" s="152">
        <f>'Rate Class Customer Model'!I14-B52</f>
        <v>0</v>
      </c>
      <c r="C56" s="152">
        <f>'Rate Class Customer Model'!I15-C52</f>
        <v>0</v>
      </c>
      <c r="D56" s="152">
        <f>'Rate Class Customer Model'!I16-D52</f>
        <v>0</v>
      </c>
      <c r="E56" s="152">
        <f>'Rate Class Customer Model'!$I17-E52</f>
        <v>0</v>
      </c>
      <c r="F56" s="152">
        <f>'Rate Class Customer Model'!$I18-F52</f>
        <v>0</v>
      </c>
      <c r="G56" s="152">
        <f>'Rate Class Customer Model'!$I19-G52</f>
        <v>0</v>
      </c>
      <c r="H56" s="152">
        <f>'Rate Class Customer Model'!$I20-H52</f>
        <v>0</v>
      </c>
      <c r="I56" s="152">
        <f>'Rate Class Customer Model'!$I21-I52</f>
        <v>0</v>
      </c>
      <c r="J56" s="152">
        <f>'Rate Class Customer Model'!$I22-J52</f>
        <v>0</v>
      </c>
      <c r="K56" s="152">
        <f>'Rate Class Customer Model'!$I23-K52</f>
        <v>0</v>
      </c>
      <c r="L56" s="152">
        <f>'Rate Class Customer Model'!$I24-L52</f>
        <v>0</v>
      </c>
      <c r="M56" s="152">
        <f>'Rate Class Customer Model'!$I25-M52</f>
        <v>0</v>
      </c>
      <c r="N56" s="153"/>
    </row>
    <row r="57" spans="1:15" s="149" customFormat="1" x14ac:dyDescent="0.25">
      <c r="B57" s="152">
        <f>'Rate Class Energy Model'!G11-B53</f>
        <v>0</v>
      </c>
      <c r="C57" s="152">
        <f>'Rate Class Energy Model'!G12-C53</f>
        <v>0</v>
      </c>
      <c r="D57" s="152">
        <f>'Rate Class Energy Model'!G13-D53</f>
        <v>0</v>
      </c>
      <c r="E57" s="152">
        <f>'Rate Class Energy Model'!$G$14-E53</f>
        <v>0</v>
      </c>
      <c r="F57" s="152">
        <f>'Rate Class Energy Model'!$G$15-F53</f>
        <v>0</v>
      </c>
      <c r="G57" s="152">
        <f>'Rate Class Energy Model'!$G$16-G53</f>
        <v>0</v>
      </c>
      <c r="H57" s="152">
        <f>'Rate Class Energy Model'!$G$17-H53</f>
        <v>0</v>
      </c>
      <c r="I57" s="152">
        <f>'Rate Class Energy Model'!$G$18-I53</f>
        <v>0</v>
      </c>
      <c r="J57" s="152">
        <f>'Rate Class Energy Model'!$G$19-J53</f>
        <v>0</v>
      </c>
      <c r="K57" s="152">
        <f>'Rate Class Energy Model'!$G$20-K53</f>
        <v>0</v>
      </c>
      <c r="L57" s="152">
        <f>'Rate Class Energy Model'!O71-L53</f>
        <v>0</v>
      </c>
      <c r="M57" s="152">
        <f>'Rate Class Energy Model'!O72-M53</f>
        <v>0</v>
      </c>
      <c r="N57" s="153"/>
    </row>
    <row r="58" spans="1:15" s="149" customFormat="1" x14ac:dyDescent="0.25">
      <c r="B58" s="152">
        <f>'Rate Class Load Model'!F13-B54</f>
        <v>0</v>
      </c>
      <c r="C58" s="152">
        <f>'Rate Class Load Model'!F14-C54</f>
        <v>0</v>
      </c>
      <c r="D58" s="152">
        <f>'Rate Class Load Model'!F15-D54</f>
        <v>0</v>
      </c>
      <c r="E58" s="152">
        <f>'Rate Class Load Model'!$F$16-E54</f>
        <v>0</v>
      </c>
      <c r="F58" s="152">
        <f>'Rate Class Load Model'!$F$17-F54</f>
        <v>0</v>
      </c>
      <c r="G58" s="152">
        <f>'Rate Class Load Model'!$F$18-G54</f>
        <v>0</v>
      </c>
      <c r="H58" s="152">
        <f>'Rate Class Load Model'!$F$19-H54</f>
        <v>0</v>
      </c>
      <c r="I58" s="152">
        <f>'Rate Class Load Model'!$F$20-I54</f>
        <v>0</v>
      </c>
      <c r="J58" s="152">
        <f>'Rate Class Load Model'!$F$21-J54</f>
        <v>0</v>
      </c>
      <c r="K58" s="152">
        <f>'Rate Class Load Model'!$F$22-K54</f>
        <v>0</v>
      </c>
      <c r="L58" s="170">
        <f>'Rate Class Load Model'!F23-L54</f>
        <v>0</v>
      </c>
      <c r="M58" s="170">
        <f>'Rate Class Load Model'!F24-M54</f>
        <v>0</v>
      </c>
      <c r="N58" s="153"/>
    </row>
    <row r="59" spans="1:15" x14ac:dyDescent="0.25">
      <c r="B59" s="27"/>
      <c r="C59" s="27"/>
      <c r="D59" s="27"/>
      <c r="E59" s="26"/>
      <c r="F59" s="26"/>
      <c r="G59" s="26"/>
      <c r="H59" s="26"/>
      <c r="I59" s="26"/>
      <c r="J59" s="26"/>
      <c r="K59" s="26"/>
      <c r="L59" s="173"/>
      <c r="M59" s="173"/>
      <c r="N59" s="56"/>
    </row>
    <row r="60" spans="1:15" x14ac:dyDescent="0.25">
      <c r="A60" t="s">
        <v>119</v>
      </c>
      <c r="B60" s="21">
        <f t="shared" ref="B60" si="9">+B20+B24+B28+B33+1+21</f>
        <v>23878</v>
      </c>
      <c r="C60" s="21">
        <f>+C20+C24+C28+C33+1+21</f>
        <v>24011</v>
      </c>
      <c r="D60" s="21">
        <f>+D20+D24+D28+D33</f>
        <v>23975</v>
      </c>
      <c r="E60" s="120">
        <f>+E20+E24+E28+E33</f>
        <v>24014</v>
      </c>
      <c r="F60" s="120">
        <f t="shared" ref="F60:K60" si="10">+F20+F24+F28+F33</f>
        <v>24028</v>
      </c>
      <c r="G60" s="120">
        <f t="shared" si="10"/>
        <v>24023</v>
      </c>
      <c r="H60" s="120">
        <f t="shared" si="10"/>
        <v>24086</v>
      </c>
      <c r="I60" s="120">
        <f t="shared" si="10"/>
        <v>24107</v>
      </c>
      <c r="J60" s="120">
        <f t="shared" si="10"/>
        <v>24142</v>
      </c>
      <c r="K60" s="120">
        <f t="shared" si="10"/>
        <v>24197</v>
      </c>
      <c r="L60" s="167">
        <f>+L20+L24+L28+L33</f>
        <v>24234</v>
      </c>
      <c r="M60" s="167">
        <f>+M20+M24+M28+M33</f>
        <v>24271</v>
      </c>
    </row>
    <row r="61" spans="1:15" x14ac:dyDescent="0.25">
      <c r="A61" t="s">
        <v>120</v>
      </c>
      <c r="B61" s="21">
        <v>1</v>
      </c>
      <c r="C61" s="21">
        <v>1</v>
      </c>
      <c r="D61" s="21">
        <v>1</v>
      </c>
      <c r="E61" s="21">
        <v>1</v>
      </c>
      <c r="F61" s="21">
        <v>1</v>
      </c>
      <c r="G61" s="21">
        <v>1</v>
      </c>
      <c r="H61" s="21">
        <v>1</v>
      </c>
      <c r="I61" s="21">
        <v>1</v>
      </c>
      <c r="J61" s="21">
        <v>1</v>
      </c>
      <c r="K61" s="21">
        <v>1</v>
      </c>
      <c r="L61" s="165">
        <v>1</v>
      </c>
      <c r="M61" s="165">
        <v>1</v>
      </c>
    </row>
    <row r="62" spans="1:15" x14ac:dyDescent="0.25">
      <c r="A62" t="s">
        <v>121</v>
      </c>
      <c r="B62" s="21">
        <v>263</v>
      </c>
      <c r="C62" s="21">
        <v>263</v>
      </c>
      <c r="D62" s="120">
        <v>263</v>
      </c>
      <c r="E62" s="120">
        <v>263</v>
      </c>
      <c r="F62" s="120"/>
      <c r="G62" s="120"/>
      <c r="H62" s="120"/>
      <c r="I62" s="120"/>
      <c r="J62" s="120"/>
      <c r="K62" s="120"/>
      <c r="L62" s="167"/>
      <c r="M62" s="167"/>
    </row>
    <row r="63" spans="1:15" x14ac:dyDescent="0.25">
      <c r="A63" t="s">
        <v>122</v>
      </c>
      <c r="B63" s="21">
        <v>21</v>
      </c>
      <c r="C63" s="21">
        <v>21</v>
      </c>
      <c r="D63" s="21">
        <f>D48</f>
        <v>17</v>
      </c>
      <c r="E63" s="21">
        <f>E48</f>
        <v>15</v>
      </c>
      <c r="F63" s="21">
        <f t="shared" ref="F63:K63" si="11">F48</f>
        <v>11</v>
      </c>
      <c r="G63" s="21">
        <f t="shared" si="11"/>
        <v>10</v>
      </c>
      <c r="H63" s="21">
        <f t="shared" si="11"/>
        <v>10</v>
      </c>
      <c r="I63" s="21">
        <f t="shared" si="11"/>
        <v>10</v>
      </c>
      <c r="J63" s="21">
        <f t="shared" si="11"/>
        <v>10</v>
      </c>
      <c r="K63" s="21">
        <f t="shared" si="11"/>
        <v>9</v>
      </c>
      <c r="L63" s="165">
        <f>L48</f>
        <v>9</v>
      </c>
      <c r="M63" s="165">
        <f>M48</f>
        <v>9</v>
      </c>
    </row>
    <row r="64" spans="1:15" ht="13" thickBot="1" x14ac:dyDescent="0.3">
      <c r="B64" s="146">
        <f t="shared" ref="B64:D64" si="12">SUM(B60:B63)</f>
        <v>24163</v>
      </c>
      <c r="C64" s="146">
        <f t="shared" si="12"/>
        <v>24296</v>
      </c>
      <c r="D64" s="146">
        <f t="shared" si="12"/>
        <v>24256</v>
      </c>
      <c r="E64" s="146">
        <f>SUM(E60:E63)</f>
        <v>24293</v>
      </c>
      <c r="F64" s="146">
        <f t="shared" ref="F64:K64" si="13">SUM(F60:F63)</f>
        <v>24040</v>
      </c>
      <c r="G64" s="146">
        <f t="shared" si="13"/>
        <v>24034</v>
      </c>
      <c r="H64" s="146">
        <f t="shared" si="13"/>
        <v>24097</v>
      </c>
      <c r="I64" s="146">
        <f t="shared" si="13"/>
        <v>24118</v>
      </c>
      <c r="J64" s="146">
        <f t="shared" si="13"/>
        <v>24153</v>
      </c>
      <c r="K64" s="146">
        <f t="shared" si="13"/>
        <v>24207</v>
      </c>
      <c r="L64" s="171">
        <f>SUM(L60:L63)</f>
        <v>24244</v>
      </c>
      <c r="M64" s="171">
        <f>SUM(M60:M63)</f>
        <v>24281</v>
      </c>
    </row>
    <row r="65" spans="1:13" x14ac:dyDescent="0.25">
      <c r="B65" s="6" t="e">
        <f>+B64-#REF!</f>
        <v>#REF!</v>
      </c>
      <c r="C65" s="21">
        <f t="shared" ref="C65:M65" si="14">+C64-B64</f>
        <v>133</v>
      </c>
      <c r="D65" s="21">
        <f t="shared" si="14"/>
        <v>-40</v>
      </c>
      <c r="E65" s="21">
        <f t="shared" si="14"/>
        <v>37</v>
      </c>
      <c r="F65" s="21">
        <f t="shared" ref="F65:K65" si="15">+F64-E64</f>
        <v>-253</v>
      </c>
      <c r="G65" s="21">
        <f t="shared" si="15"/>
        <v>-6</v>
      </c>
      <c r="H65" s="21">
        <f t="shared" si="15"/>
        <v>63</v>
      </c>
      <c r="I65" s="21">
        <f t="shared" si="15"/>
        <v>21</v>
      </c>
      <c r="J65" s="21">
        <f t="shared" si="15"/>
        <v>35</v>
      </c>
      <c r="K65" s="21">
        <f t="shared" si="15"/>
        <v>54</v>
      </c>
      <c r="L65" s="165">
        <f>+L64-E64</f>
        <v>-49</v>
      </c>
      <c r="M65" s="165">
        <f t="shared" si="14"/>
        <v>37</v>
      </c>
    </row>
    <row r="66" spans="1:13" x14ac:dyDescent="0.25">
      <c r="B66" s="17"/>
      <c r="C66" s="17"/>
      <c r="D66" s="21"/>
      <c r="E66" s="21"/>
      <c r="F66" s="21"/>
      <c r="G66" s="21"/>
      <c r="H66" s="21"/>
      <c r="I66" s="21"/>
      <c r="J66" s="21"/>
      <c r="K66" s="21"/>
      <c r="L66" s="165"/>
      <c r="M66" s="165"/>
    </row>
    <row r="67" spans="1:13" x14ac:dyDescent="0.25">
      <c r="A67" s="25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2"/>
      <c r="M67" s="172"/>
    </row>
    <row r="68" spans="1:13" x14ac:dyDescent="0.25">
      <c r="A68" s="25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2"/>
      <c r="M68" s="172"/>
    </row>
    <row r="69" spans="1:13" x14ac:dyDescent="0.25"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2"/>
      <c r="M69" s="172"/>
    </row>
    <row r="70" spans="1:13" x14ac:dyDescent="0.25"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2"/>
      <c r="M70" s="172"/>
    </row>
    <row r="71" spans="1:13" x14ac:dyDescent="0.25"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2"/>
      <c r="M71" s="172"/>
    </row>
    <row r="72" spans="1:13" x14ac:dyDescent="0.25"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2"/>
      <c r="M72" s="172"/>
    </row>
    <row r="73" spans="1:13" x14ac:dyDescent="0.25"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2"/>
      <c r="M73" s="172"/>
    </row>
    <row r="74" spans="1:13" x14ac:dyDescent="0.25"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2"/>
      <c r="M74" s="172"/>
    </row>
    <row r="75" spans="1:13" x14ac:dyDescent="0.25"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2"/>
      <c r="M75" s="172"/>
    </row>
    <row r="76" spans="1:13" x14ac:dyDescent="0.25"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2"/>
      <c r="M76" s="172"/>
    </row>
    <row r="77" spans="1:13" x14ac:dyDescent="0.25"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2"/>
      <c r="M77" s="172"/>
    </row>
    <row r="78" spans="1:13" x14ac:dyDescent="0.25"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2"/>
      <c r="M78" s="172"/>
    </row>
    <row r="79" spans="1:13" x14ac:dyDescent="0.25"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2"/>
      <c r="M79" s="172"/>
    </row>
    <row r="80" spans="1:13" x14ac:dyDescent="0.25"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2"/>
      <c r="M80" s="172"/>
    </row>
    <row r="81" spans="2:13" x14ac:dyDescent="0.25"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2"/>
      <c r="M81" s="172"/>
    </row>
    <row r="82" spans="2:13" x14ac:dyDescent="0.25"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2"/>
      <c r="M82" s="172"/>
    </row>
    <row r="83" spans="2:13" x14ac:dyDescent="0.25"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2"/>
      <c r="M83" s="172"/>
    </row>
  </sheetData>
  <phoneticPr fontId="0" type="noConversion"/>
  <pageMargins left="0.39" right="0.26" top="1" bottom="1" header="0.5" footer="0.5"/>
  <pageSetup scale="57" orientation="landscape" r:id="rId1"/>
  <headerFooter alignWithMargins="0">
    <oddFooter>&amp;C&amp;A
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H206"/>
  <sheetViews>
    <sheetView topLeftCell="A111" workbookViewId="0">
      <selection activeCell="M198" sqref="M198"/>
    </sheetView>
  </sheetViews>
  <sheetFormatPr defaultColWidth="9.1796875" defaultRowHeight="12.5" outlineLevelCol="1" x14ac:dyDescent="0.25"/>
  <cols>
    <col min="1" max="1" width="15" style="121" customWidth="1"/>
    <col min="2" max="2" width="18" style="122" customWidth="1"/>
    <col min="3" max="3" width="11.7265625" style="126" customWidth="1"/>
    <col min="4" max="4" width="13.453125" style="126" customWidth="1"/>
    <col min="5" max="5" width="10.1796875" style="126" customWidth="1"/>
    <col min="6" max="6" width="12.453125" style="126" customWidth="1"/>
    <col min="7" max="7" width="10.54296875" style="126" hidden="1" customWidth="1" outlineLevel="1"/>
    <col min="8" max="8" width="15.453125" style="126" bestFit="1" customWidth="1" collapsed="1"/>
    <col min="9" max="9" width="14.453125" style="27" hidden="1" customWidth="1" outlineLevel="1"/>
    <col min="10" max="10" width="12.453125" style="17" hidden="1" customWidth="1" outlineLevel="1"/>
    <col min="11" max="11" width="13" style="135" hidden="1" customWidth="1" outlineLevel="1"/>
    <col min="12" max="12" width="17" style="17" customWidth="1" collapsed="1"/>
    <col min="13" max="13" width="12.453125" style="17" customWidth="1"/>
    <col min="14" max="14" width="23.453125" style="25" bestFit="1" customWidth="1"/>
    <col min="15" max="15" width="18" style="25" customWidth="1"/>
    <col min="16" max="16" width="20" style="25" customWidth="1"/>
    <col min="17" max="17" width="18" style="25" customWidth="1"/>
    <col min="18" max="18" width="17.1796875" style="25" customWidth="1"/>
    <col min="19" max="20" width="15.7265625" style="25" customWidth="1"/>
    <col min="21" max="21" width="14.1796875" style="25" bestFit="1" customWidth="1"/>
    <col min="22" max="22" width="11.7265625" style="25" bestFit="1" customWidth="1"/>
    <col min="23" max="23" width="11.81640625" style="25" bestFit="1" customWidth="1"/>
    <col min="24" max="24" width="12.54296875" style="21" customWidth="1"/>
    <col min="25" max="25" width="11.26953125" style="21" customWidth="1"/>
    <col min="26" max="26" width="11.54296875" style="21" customWidth="1"/>
    <col min="27" max="27" width="9.26953125" style="21" customWidth="1"/>
    <col min="28" max="28" width="9.1796875" style="21"/>
    <col min="29" max="29" width="11.7265625" style="21" bestFit="1" customWidth="1"/>
    <col min="30" max="30" width="10.7265625" style="21" bestFit="1" customWidth="1"/>
    <col min="31" max="32" width="9.1796875" style="21"/>
    <col min="33" max="16384" width="9.1796875" style="25"/>
  </cols>
  <sheetData>
    <row r="1" spans="1:26" ht="13" x14ac:dyDescent="0.3">
      <c r="B1" s="199"/>
      <c r="K1" s="129"/>
    </row>
    <row r="2" spans="1:26" ht="42" customHeight="1" x14ac:dyDescent="0.25">
      <c r="B2" s="233" t="s">
        <v>0</v>
      </c>
      <c r="C2" s="234" t="s">
        <v>4</v>
      </c>
      <c r="D2" s="234" t="s">
        <v>5</v>
      </c>
      <c r="E2" s="234" t="s">
        <v>6</v>
      </c>
      <c r="F2" s="234" t="s">
        <v>18</v>
      </c>
      <c r="G2" s="234" t="s">
        <v>133</v>
      </c>
      <c r="H2" s="234" t="s">
        <v>11</v>
      </c>
      <c r="I2" s="117"/>
      <c r="J2" s="116"/>
      <c r="K2" s="134"/>
      <c r="L2" s="116"/>
      <c r="M2" s="116" t="s">
        <v>140</v>
      </c>
      <c r="X2" s="118"/>
      <c r="Y2" s="118"/>
      <c r="Z2" s="118"/>
    </row>
    <row r="3" spans="1:26" ht="13" x14ac:dyDescent="0.3">
      <c r="A3" s="275">
        <v>39814</v>
      </c>
      <c r="B3" s="236">
        <v>66435130</v>
      </c>
      <c r="C3" s="237">
        <v>1046.0999999999999</v>
      </c>
      <c r="D3" s="237">
        <v>0</v>
      </c>
      <c r="E3" s="236">
        <v>31</v>
      </c>
      <c r="F3" s="236">
        <v>0</v>
      </c>
      <c r="G3" s="236">
        <v>0</v>
      </c>
      <c r="H3" s="236"/>
      <c r="I3" s="26"/>
      <c r="J3" s="11"/>
      <c r="L3" s="11"/>
      <c r="M3" s="132">
        <f t="shared" ref="M3:M11" si="0">ABS(L3/B3)</f>
        <v>0</v>
      </c>
    </row>
    <row r="4" spans="1:26" ht="13" x14ac:dyDescent="0.3">
      <c r="A4" s="275">
        <v>39845</v>
      </c>
      <c r="B4" s="236">
        <v>54391300</v>
      </c>
      <c r="C4" s="237">
        <v>773.1</v>
      </c>
      <c r="D4" s="237">
        <v>0</v>
      </c>
      <c r="E4" s="236">
        <v>28</v>
      </c>
      <c r="F4" s="236">
        <v>0</v>
      </c>
      <c r="G4" s="236">
        <v>0</v>
      </c>
      <c r="H4" s="236"/>
      <c r="I4" s="26"/>
      <c r="J4" s="11"/>
      <c r="L4" s="11"/>
      <c r="M4" s="132">
        <f t="shared" si="0"/>
        <v>0</v>
      </c>
    </row>
    <row r="5" spans="1:26" ht="13" x14ac:dyDescent="0.3">
      <c r="A5" s="275">
        <v>39873</v>
      </c>
      <c r="B5" s="236">
        <v>54188320</v>
      </c>
      <c r="C5" s="237">
        <v>671.1</v>
      </c>
      <c r="D5" s="237">
        <v>0</v>
      </c>
      <c r="E5" s="236">
        <v>31</v>
      </c>
      <c r="F5" s="236">
        <v>1</v>
      </c>
      <c r="G5" s="236">
        <v>0</v>
      </c>
      <c r="H5" s="236"/>
      <c r="I5" s="26"/>
      <c r="J5" s="11"/>
      <c r="L5" s="11"/>
      <c r="M5" s="132">
        <f t="shared" si="0"/>
        <v>0</v>
      </c>
    </row>
    <row r="6" spans="1:26" ht="13" x14ac:dyDescent="0.3">
      <c r="A6" s="275">
        <v>39904</v>
      </c>
      <c r="B6" s="236">
        <v>45313310</v>
      </c>
      <c r="C6" s="237">
        <v>421.4</v>
      </c>
      <c r="D6" s="237">
        <v>0.09</v>
      </c>
      <c r="E6" s="236">
        <v>30</v>
      </c>
      <c r="F6" s="236">
        <v>1</v>
      </c>
      <c r="G6" s="236">
        <v>0</v>
      </c>
      <c r="H6" s="236"/>
      <c r="I6" s="26"/>
      <c r="J6" s="11"/>
      <c r="L6" s="11"/>
      <c r="M6" s="132">
        <f t="shared" si="0"/>
        <v>0</v>
      </c>
    </row>
    <row r="7" spans="1:26" ht="13" x14ac:dyDescent="0.3">
      <c r="A7" s="275">
        <v>39934</v>
      </c>
      <c r="B7" s="236">
        <v>40746061.538461536</v>
      </c>
      <c r="C7" s="237">
        <v>257.10000000000002</v>
      </c>
      <c r="D7" s="237">
        <v>0</v>
      </c>
      <c r="E7" s="236">
        <v>31</v>
      </c>
      <c r="F7" s="236">
        <v>1</v>
      </c>
      <c r="G7" s="236">
        <v>0</v>
      </c>
      <c r="H7" s="236"/>
      <c r="I7" s="26"/>
      <c r="J7" s="11"/>
      <c r="L7" s="11"/>
      <c r="M7" s="132">
        <f t="shared" si="0"/>
        <v>0</v>
      </c>
    </row>
    <row r="8" spans="1:26" ht="13" x14ac:dyDescent="0.3">
      <c r="A8" s="275">
        <v>39965</v>
      </c>
      <c r="B8" s="236">
        <v>41206069.230769232</v>
      </c>
      <c r="C8" s="237">
        <v>85.2</v>
      </c>
      <c r="D8" s="237">
        <v>34.1</v>
      </c>
      <c r="E8" s="236">
        <v>30</v>
      </c>
      <c r="F8" s="236">
        <v>0</v>
      </c>
      <c r="G8" s="236">
        <v>0</v>
      </c>
      <c r="H8" s="236"/>
      <c r="I8" s="26"/>
      <c r="J8" s="11"/>
      <c r="L8" s="11"/>
      <c r="M8" s="132">
        <f t="shared" si="0"/>
        <v>0</v>
      </c>
    </row>
    <row r="9" spans="1:26" ht="13" x14ac:dyDescent="0.3">
      <c r="A9" s="275">
        <v>39995</v>
      </c>
      <c r="B9" s="236">
        <v>41748515.384615384</v>
      </c>
      <c r="C9" s="237">
        <v>46.3</v>
      </c>
      <c r="D9" s="237">
        <v>13.6</v>
      </c>
      <c r="E9" s="236">
        <v>31</v>
      </c>
      <c r="F9" s="236">
        <v>0</v>
      </c>
      <c r="G9" s="236">
        <v>0</v>
      </c>
      <c r="H9" s="236"/>
      <c r="I9" s="26"/>
      <c r="J9" s="11"/>
      <c r="L9" s="11"/>
      <c r="M9" s="132">
        <f t="shared" si="0"/>
        <v>0</v>
      </c>
    </row>
    <row r="10" spans="1:26" ht="13" x14ac:dyDescent="0.3">
      <c r="A10" s="275">
        <v>40026</v>
      </c>
      <c r="B10" s="236">
        <v>42834530.769230768</v>
      </c>
      <c r="C10" s="237">
        <v>60.9</v>
      </c>
      <c r="D10" s="237">
        <v>35.6</v>
      </c>
      <c r="E10" s="236">
        <v>31</v>
      </c>
      <c r="F10" s="236">
        <v>0</v>
      </c>
      <c r="G10" s="236">
        <v>0</v>
      </c>
      <c r="H10" s="236"/>
      <c r="I10" s="26"/>
      <c r="J10" s="11"/>
      <c r="L10" s="11"/>
      <c r="M10" s="132">
        <f t="shared" si="0"/>
        <v>0</v>
      </c>
    </row>
    <row r="11" spans="1:26" ht="13" x14ac:dyDescent="0.3">
      <c r="A11" s="275">
        <v>40057</v>
      </c>
      <c r="B11" s="236">
        <v>40869246.153846152</v>
      </c>
      <c r="C11" s="237">
        <v>126.2</v>
      </c>
      <c r="D11" s="237">
        <v>4.9000000000000004</v>
      </c>
      <c r="E11" s="236">
        <v>30</v>
      </c>
      <c r="F11" s="236">
        <v>1</v>
      </c>
      <c r="G11" s="236">
        <v>0</v>
      </c>
      <c r="H11" s="236"/>
      <c r="I11" s="26"/>
      <c r="J11" s="11"/>
      <c r="L11" s="11"/>
      <c r="M11" s="132">
        <f t="shared" si="0"/>
        <v>0</v>
      </c>
    </row>
    <row r="12" spans="1:26" ht="13" x14ac:dyDescent="0.3">
      <c r="A12" s="275">
        <v>40087</v>
      </c>
      <c r="B12" s="236">
        <v>46305269.230769232</v>
      </c>
      <c r="C12" s="237">
        <v>409.4</v>
      </c>
      <c r="D12" s="237">
        <v>0</v>
      </c>
      <c r="E12" s="236">
        <v>31</v>
      </c>
      <c r="F12" s="236">
        <v>1</v>
      </c>
      <c r="G12" s="236">
        <v>0</v>
      </c>
      <c r="H12" s="236"/>
      <c r="I12" s="26"/>
      <c r="J12" s="11"/>
      <c r="L12" s="11"/>
      <c r="M12" s="132">
        <f t="shared" ref="M12:M62" si="1">ABS(L12/B12)</f>
        <v>0</v>
      </c>
    </row>
    <row r="13" spans="1:26" ht="13" x14ac:dyDescent="0.3">
      <c r="A13" s="275">
        <v>40118</v>
      </c>
      <c r="B13" s="236">
        <v>47482200</v>
      </c>
      <c r="C13" s="237">
        <v>453.8</v>
      </c>
      <c r="D13" s="237">
        <v>0</v>
      </c>
      <c r="E13" s="236">
        <v>30</v>
      </c>
      <c r="F13" s="236">
        <v>1</v>
      </c>
      <c r="G13" s="236">
        <v>0</v>
      </c>
      <c r="H13" s="236"/>
      <c r="I13" s="26"/>
      <c r="J13" s="11"/>
      <c r="L13" s="11"/>
      <c r="M13" s="132">
        <f t="shared" si="1"/>
        <v>0</v>
      </c>
    </row>
    <row r="14" spans="1:26" ht="13" x14ac:dyDescent="0.3">
      <c r="A14" s="275">
        <v>40148</v>
      </c>
      <c r="B14" s="236">
        <v>58800730.769230768</v>
      </c>
      <c r="C14" s="237">
        <v>824.4</v>
      </c>
      <c r="D14" s="237">
        <v>0</v>
      </c>
      <c r="E14" s="236">
        <v>31</v>
      </c>
      <c r="F14" s="236">
        <v>0</v>
      </c>
      <c r="G14" s="236">
        <v>0</v>
      </c>
      <c r="H14" s="236"/>
      <c r="I14" s="26"/>
      <c r="J14" s="11"/>
      <c r="L14" s="11"/>
      <c r="M14" s="132">
        <f t="shared" si="1"/>
        <v>0</v>
      </c>
    </row>
    <row r="15" spans="1:26" ht="13" x14ac:dyDescent="0.3">
      <c r="A15" s="275">
        <v>40179</v>
      </c>
      <c r="B15" s="236">
        <v>61714800.000000007</v>
      </c>
      <c r="C15" s="237">
        <v>887.4</v>
      </c>
      <c r="D15" s="237">
        <v>0</v>
      </c>
      <c r="E15" s="236">
        <v>31</v>
      </c>
      <c r="F15" s="236">
        <v>0</v>
      </c>
      <c r="G15" s="236">
        <v>0</v>
      </c>
      <c r="H15" s="236"/>
      <c r="I15" s="26"/>
      <c r="J15" s="11"/>
      <c r="L15" s="11"/>
      <c r="M15" s="132">
        <f t="shared" si="1"/>
        <v>0</v>
      </c>
      <c r="N15"/>
      <c r="O15"/>
      <c r="P15"/>
      <c r="Q15"/>
      <c r="R15"/>
      <c r="S15"/>
      <c r="T15"/>
      <c r="U15"/>
      <c r="V15"/>
    </row>
    <row r="16" spans="1:26" ht="13.5" thickBot="1" x14ac:dyDescent="0.35">
      <c r="A16" s="275">
        <v>40210</v>
      </c>
      <c r="B16" s="236">
        <v>54321930.769230768</v>
      </c>
      <c r="C16" s="237">
        <v>753</v>
      </c>
      <c r="D16" s="237">
        <v>0</v>
      </c>
      <c r="E16" s="236">
        <v>28</v>
      </c>
      <c r="F16" s="236">
        <v>0</v>
      </c>
      <c r="G16" s="236">
        <v>0</v>
      </c>
      <c r="H16" s="236"/>
      <c r="I16" s="26"/>
      <c r="J16" s="11"/>
      <c r="L16" s="11"/>
      <c r="M16" s="132">
        <f t="shared" si="1"/>
        <v>0</v>
      </c>
      <c r="N16"/>
      <c r="O16"/>
      <c r="P16"/>
      <c r="Q16"/>
      <c r="R16"/>
      <c r="S16"/>
      <c r="T16"/>
      <c r="U16"/>
      <c r="V16"/>
    </row>
    <row r="17" spans="1:22" ht="13" x14ac:dyDescent="0.3">
      <c r="A17" s="275">
        <v>40238</v>
      </c>
      <c r="B17" s="236">
        <v>50859730.769230768</v>
      </c>
      <c r="C17" s="237">
        <v>501.3</v>
      </c>
      <c r="D17" s="237">
        <v>0</v>
      </c>
      <c r="E17" s="236">
        <v>31</v>
      </c>
      <c r="F17" s="236">
        <v>1</v>
      </c>
      <c r="G17" s="236">
        <v>0</v>
      </c>
      <c r="H17" s="236"/>
      <c r="I17" s="26"/>
      <c r="J17" s="11"/>
      <c r="L17" s="11"/>
      <c r="M17" s="132">
        <f t="shared" si="1"/>
        <v>0</v>
      </c>
      <c r="N17" s="31"/>
      <c r="O17" s="31"/>
      <c r="P17"/>
      <c r="Q17"/>
      <c r="R17"/>
      <c r="S17"/>
      <c r="T17"/>
      <c r="U17"/>
      <c r="V17"/>
    </row>
    <row r="18" spans="1:22" ht="13" x14ac:dyDescent="0.3">
      <c r="A18" s="275">
        <v>40269</v>
      </c>
      <c r="B18" s="236">
        <v>44050484.615384616</v>
      </c>
      <c r="C18" s="237">
        <v>314.5</v>
      </c>
      <c r="D18" s="237">
        <v>0.1</v>
      </c>
      <c r="E18" s="236">
        <v>30</v>
      </c>
      <c r="F18" s="236">
        <v>1</v>
      </c>
      <c r="G18" s="236">
        <v>0</v>
      </c>
      <c r="H18" s="236"/>
      <c r="I18" s="26"/>
      <c r="J18" s="11"/>
      <c r="L18" s="11"/>
      <c r="M18" s="132">
        <f t="shared" si="1"/>
        <v>0</v>
      </c>
      <c r="N18" s="28"/>
      <c r="O18" s="28"/>
      <c r="P18"/>
      <c r="Q18"/>
      <c r="R18"/>
      <c r="S18"/>
      <c r="T18"/>
      <c r="U18"/>
      <c r="V18"/>
    </row>
    <row r="19" spans="1:22" ht="13" x14ac:dyDescent="0.3">
      <c r="A19" s="275">
        <v>40299</v>
      </c>
      <c r="B19" s="236">
        <v>44651823.07692308</v>
      </c>
      <c r="C19" s="237">
        <v>147.69999999999999</v>
      </c>
      <c r="D19" s="237">
        <v>29.2</v>
      </c>
      <c r="E19" s="236">
        <v>31</v>
      </c>
      <c r="F19" s="236">
        <v>1</v>
      </c>
      <c r="G19" s="236">
        <v>0</v>
      </c>
      <c r="H19" s="236"/>
      <c r="I19" s="26"/>
      <c r="J19" s="11"/>
      <c r="L19" s="11"/>
      <c r="M19" s="132">
        <f t="shared" si="1"/>
        <v>0</v>
      </c>
      <c r="N19" s="28"/>
      <c r="O19" s="28"/>
      <c r="P19"/>
      <c r="Q19"/>
      <c r="R19"/>
      <c r="S19"/>
      <c r="T19"/>
      <c r="U19"/>
      <c r="V19"/>
    </row>
    <row r="20" spans="1:22" ht="13" x14ac:dyDescent="0.3">
      <c r="A20" s="275">
        <v>40330</v>
      </c>
      <c r="B20" s="236">
        <v>42680284.615384616</v>
      </c>
      <c r="C20" s="237">
        <v>71.2</v>
      </c>
      <c r="D20" s="237">
        <v>7.1</v>
      </c>
      <c r="E20" s="236">
        <v>30</v>
      </c>
      <c r="F20" s="236">
        <v>0</v>
      </c>
      <c r="G20" s="236">
        <v>0</v>
      </c>
      <c r="H20" s="236"/>
      <c r="I20" s="26"/>
      <c r="J20" s="11"/>
      <c r="L20" s="11"/>
      <c r="M20" s="132">
        <f t="shared" si="1"/>
        <v>0</v>
      </c>
      <c r="N20" s="28"/>
      <c r="O20" s="28"/>
      <c r="P20"/>
      <c r="Q20"/>
      <c r="R20"/>
      <c r="S20"/>
      <c r="T20"/>
      <c r="U20"/>
      <c r="V20"/>
    </row>
    <row r="21" spans="1:22" ht="13" x14ac:dyDescent="0.3">
      <c r="A21" s="275">
        <v>40360</v>
      </c>
      <c r="B21" s="236">
        <v>47940330.769230768</v>
      </c>
      <c r="C21" s="237">
        <v>11</v>
      </c>
      <c r="D21" s="237">
        <v>90.4</v>
      </c>
      <c r="E21" s="236">
        <v>31</v>
      </c>
      <c r="F21" s="236">
        <v>0</v>
      </c>
      <c r="G21" s="236">
        <v>0</v>
      </c>
      <c r="H21" s="236"/>
      <c r="I21" s="26"/>
      <c r="J21" s="11"/>
      <c r="L21" s="11"/>
      <c r="M21" s="132">
        <f t="shared" si="1"/>
        <v>0</v>
      </c>
      <c r="N21" s="28"/>
      <c r="O21" s="28"/>
      <c r="P21"/>
      <c r="Q21"/>
      <c r="R21"/>
      <c r="S21"/>
      <c r="T21"/>
      <c r="U21"/>
      <c r="V21"/>
    </row>
    <row r="22" spans="1:22" ht="13.5" thickBot="1" x14ac:dyDescent="0.35">
      <c r="A22" s="275">
        <v>40391</v>
      </c>
      <c r="B22" s="236">
        <v>46659623.07692308</v>
      </c>
      <c r="C22" s="237">
        <v>29.4</v>
      </c>
      <c r="D22" s="237">
        <v>69.7</v>
      </c>
      <c r="E22" s="236">
        <v>31</v>
      </c>
      <c r="F22" s="236">
        <v>0</v>
      </c>
      <c r="G22" s="236">
        <v>0</v>
      </c>
      <c r="H22" s="236"/>
      <c r="I22" s="26"/>
      <c r="J22" s="11"/>
      <c r="L22" s="11"/>
      <c r="M22" s="132">
        <f t="shared" si="1"/>
        <v>0</v>
      </c>
      <c r="N22" s="29"/>
      <c r="O22" s="29"/>
      <c r="P22"/>
      <c r="Q22"/>
      <c r="R22"/>
      <c r="S22"/>
      <c r="T22"/>
      <c r="U22"/>
      <c r="V22"/>
    </row>
    <row r="23" spans="1:22" ht="13" x14ac:dyDescent="0.3">
      <c r="A23" s="275">
        <v>40422</v>
      </c>
      <c r="B23" s="236">
        <v>43088392.307692312</v>
      </c>
      <c r="C23" s="237">
        <v>177.3</v>
      </c>
      <c r="D23" s="237">
        <v>11.8</v>
      </c>
      <c r="E23" s="236">
        <v>30</v>
      </c>
      <c r="F23" s="236">
        <v>1</v>
      </c>
      <c r="G23" s="236">
        <v>0</v>
      </c>
      <c r="H23" s="236"/>
      <c r="I23" s="26"/>
      <c r="J23" s="11"/>
      <c r="L23" s="11"/>
      <c r="M23" s="132">
        <f t="shared" si="1"/>
        <v>0</v>
      </c>
      <c r="N23"/>
      <c r="O23"/>
      <c r="P23"/>
      <c r="Q23"/>
      <c r="R23"/>
      <c r="S23"/>
      <c r="T23"/>
      <c r="U23"/>
      <c r="V23"/>
    </row>
    <row r="24" spans="1:22" ht="13.5" thickBot="1" x14ac:dyDescent="0.35">
      <c r="A24" s="275">
        <v>40452</v>
      </c>
      <c r="B24" s="236">
        <v>45676969.230769232</v>
      </c>
      <c r="C24" s="237">
        <v>369.8</v>
      </c>
      <c r="D24" s="237">
        <v>0</v>
      </c>
      <c r="E24" s="236">
        <v>31</v>
      </c>
      <c r="F24" s="236">
        <v>1</v>
      </c>
      <c r="G24" s="236">
        <v>0</v>
      </c>
      <c r="H24" s="236"/>
      <c r="I24" s="26"/>
      <c r="J24" s="11"/>
      <c r="L24" s="11"/>
      <c r="M24" s="132">
        <f t="shared" si="1"/>
        <v>0</v>
      </c>
      <c r="N24"/>
      <c r="O24"/>
      <c r="P24"/>
      <c r="Q24"/>
      <c r="R24"/>
      <c r="S24"/>
      <c r="T24"/>
      <c r="U24"/>
      <c r="V24"/>
    </row>
    <row r="25" spans="1:22" ht="13" x14ac:dyDescent="0.3">
      <c r="A25" s="275">
        <v>40483</v>
      </c>
      <c r="B25" s="236">
        <v>50732084.615384623</v>
      </c>
      <c r="C25" s="237">
        <v>526.1</v>
      </c>
      <c r="D25" s="237">
        <v>0</v>
      </c>
      <c r="E25" s="236">
        <v>30</v>
      </c>
      <c r="F25" s="236">
        <v>1</v>
      </c>
      <c r="G25" s="236">
        <v>0</v>
      </c>
      <c r="H25" s="236"/>
      <c r="I25" s="26"/>
      <c r="J25" s="11"/>
      <c r="L25" s="11"/>
      <c r="M25" s="132">
        <f t="shared" si="1"/>
        <v>0</v>
      </c>
      <c r="N25" s="30"/>
      <c r="O25" s="30"/>
      <c r="P25" s="30"/>
      <c r="Q25" s="30"/>
      <c r="R25" s="30"/>
      <c r="S25" s="30"/>
      <c r="T25"/>
      <c r="U25"/>
      <c r="V25"/>
    </row>
    <row r="26" spans="1:22" ht="13" x14ac:dyDescent="0.3">
      <c r="A26" s="275">
        <v>40513</v>
      </c>
      <c r="B26" s="236">
        <v>59729500.000000007</v>
      </c>
      <c r="C26" s="237">
        <v>812.9</v>
      </c>
      <c r="D26" s="237">
        <v>0</v>
      </c>
      <c r="E26" s="236">
        <v>31</v>
      </c>
      <c r="F26" s="236">
        <v>0</v>
      </c>
      <c r="G26" s="236">
        <v>0</v>
      </c>
      <c r="H26" s="236"/>
      <c r="I26" s="26"/>
      <c r="J26" s="11"/>
      <c r="L26" s="11"/>
      <c r="M26" s="132">
        <f t="shared" si="1"/>
        <v>0</v>
      </c>
      <c r="N26" s="28"/>
      <c r="O26" s="28"/>
      <c r="P26" s="28"/>
      <c r="Q26" s="28"/>
      <c r="R26" s="28"/>
      <c r="S26" s="28"/>
      <c r="T26"/>
      <c r="U26"/>
      <c r="V26"/>
    </row>
    <row r="27" spans="1:22" ht="13" x14ac:dyDescent="0.3">
      <c r="A27" s="275">
        <v>40544</v>
      </c>
      <c r="B27" s="236">
        <v>64609346.153846152</v>
      </c>
      <c r="C27" s="237">
        <v>984.2</v>
      </c>
      <c r="D27" s="237">
        <v>0</v>
      </c>
      <c r="E27" s="236">
        <v>31</v>
      </c>
      <c r="F27" s="236">
        <v>0</v>
      </c>
      <c r="G27" s="236">
        <v>0</v>
      </c>
      <c r="H27" s="236"/>
      <c r="I27" s="26"/>
      <c r="J27" s="11"/>
      <c r="L27" s="11"/>
      <c r="M27" s="132">
        <f t="shared" si="1"/>
        <v>0</v>
      </c>
      <c r="N27" s="28"/>
      <c r="O27" s="28"/>
      <c r="P27" s="28"/>
      <c r="Q27" s="28"/>
      <c r="R27" s="28"/>
      <c r="S27" s="28"/>
      <c r="T27"/>
      <c r="U27"/>
      <c r="V27"/>
    </row>
    <row r="28" spans="1:22" ht="13.5" thickBot="1" x14ac:dyDescent="0.35">
      <c r="A28" s="275">
        <v>40575</v>
      </c>
      <c r="B28" s="236">
        <v>56418838.461538471</v>
      </c>
      <c r="C28" s="237">
        <v>798.2</v>
      </c>
      <c r="D28" s="237">
        <v>0</v>
      </c>
      <c r="E28" s="236">
        <v>28</v>
      </c>
      <c r="F28" s="236">
        <v>0</v>
      </c>
      <c r="G28" s="236">
        <v>0</v>
      </c>
      <c r="H28" s="236"/>
      <c r="I28" s="26"/>
      <c r="J28" s="11"/>
      <c r="L28" s="11"/>
      <c r="M28" s="132">
        <f t="shared" si="1"/>
        <v>0</v>
      </c>
      <c r="N28" s="29"/>
      <c r="O28" s="29"/>
      <c r="P28" s="29"/>
      <c r="Q28" s="29"/>
      <c r="R28" s="29"/>
      <c r="S28" s="29"/>
      <c r="T28"/>
      <c r="U28"/>
      <c r="V28"/>
    </row>
    <row r="29" spans="1:22" ht="13.5" thickBot="1" x14ac:dyDescent="0.35">
      <c r="A29" s="275">
        <v>40603</v>
      </c>
      <c r="B29" s="236">
        <v>57187261.538461544</v>
      </c>
      <c r="C29" s="237">
        <v>742.1</v>
      </c>
      <c r="D29" s="237">
        <v>0</v>
      </c>
      <c r="E29" s="236">
        <v>31</v>
      </c>
      <c r="F29" s="236">
        <v>1</v>
      </c>
      <c r="G29" s="236">
        <v>0</v>
      </c>
      <c r="H29" s="236"/>
      <c r="I29" s="26"/>
      <c r="J29" s="11"/>
      <c r="L29" s="11"/>
      <c r="M29" s="132">
        <f t="shared" si="1"/>
        <v>0</v>
      </c>
      <c r="N29"/>
      <c r="O29"/>
      <c r="P29"/>
      <c r="Q29"/>
      <c r="R29"/>
      <c r="S29"/>
      <c r="T29"/>
      <c r="U29"/>
      <c r="V29"/>
    </row>
    <row r="30" spans="1:22" ht="13" x14ac:dyDescent="0.3">
      <c r="A30" s="275">
        <v>40634</v>
      </c>
      <c r="B30" s="236">
        <v>47356076.923076928</v>
      </c>
      <c r="C30" s="237">
        <v>443.5</v>
      </c>
      <c r="D30" s="237">
        <v>0</v>
      </c>
      <c r="E30" s="236">
        <v>30</v>
      </c>
      <c r="F30" s="236">
        <v>1</v>
      </c>
      <c r="G30" s="236">
        <v>0</v>
      </c>
      <c r="H30" s="236"/>
      <c r="I30" s="26"/>
      <c r="J30" s="11"/>
      <c r="L30" s="11"/>
      <c r="M30" s="132">
        <f t="shared" si="1"/>
        <v>0</v>
      </c>
      <c r="N30" s="30"/>
      <c r="O30" s="30"/>
      <c r="P30" s="30"/>
      <c r="Q30" s="30"/>
      <c r="R30" s="30"/>
      <c r="S30" s="30"/>
      <c r="T30" s="30"/>
      <c r="U30" s="30"/>
      <c r="V30" s="30"/>
    </row>
    <row r="31" spans="1:22" ht="13" x14ac:dyDescent="0.3">
      <c r="A31" s="275">
        <v>40664</v>
      </c>
      <c r="B31" s="236">
        <v>43036769.230769232</v>
      </c>
      <c r="C31" s="237">
        <v>175.1</v>
      </c>
      <c r="D31" s="237">
        <v>6.9</v>
      </c>
      <c r="E31" s="236">
        <v>31</v>
      </c>
      <c r="F31" s="236">
        <v>1</v>
      </c>
      <c r="G31" s="236">
        <v>0</v>
      </c>
      <c r="H31" s="236"/>
      <c r="I31" s="26"/>
      <c r="J31" s="11"/>
      <c r="L31" s="11"/>
      <c r="M31" s="132">
        <f t="shared" si="1"/>
        <v>0</v>
      </c>
      <c r="N31" s="28"/>
      <c r="O31" s="28"/>
      <c r="P31" s="28"/>
      <c r="Q31" s="28"/>
      <c r="R31" s="28"/>
      <c r="S31" s="28"/>
      <c r="T31" s="28"/>
      <c r="U31" s="28"/>
      <c r="V31" s="28"/>
    </row>
    <row r="32" spans="1:22" ht="13" x14ac:dyDescent="0.3">
      <c r="A32" s="275">
        <v>40695</v>
      </c>
      <c r="B32" s="236">
        <v>42724253.846153848</v>
      </c>
      <c r="C32" s="237">
        <v>65.7</v>
      </c>
      <c r="D32" s="237">
        <v>22.2</v>
      </c>
      <c r="E32" s="236">
        <v>30</v>
      </c>
      <c r="F32" s="236">
        <v>0</v>
      </c>
      <c r="G32" s="236">
        <v>0</v>
      </c>
      <c r="H32" s="236"/>
      <c r="I32" s="26"/>
      <c r="J32" s="11"/>
      <c r="L32" s="11"/>
      <c r="M32" s="132">
        <f t="shared" si="1"/>
        <v>0</v>
      </c>
      <c r="N32" s="28"/>
      <c r="O32" s="28"/>
      <c r="P32" s="28"/>
      <c r="Q32" s="28"/>
      <c r="R32" s="28"/>
      <c r="S32" s="28"/>
      <c r="T32" s="28"/>
      <c r="U32" s="28"/>
      <c r="V32" s="28"/>
    </row>
    <row r="33" spans="1:22" ht="13" x14ac:dyDescent="0.3">
      <c r="A33" s="275">
        <v>40725</v>
      </c>
      <c r="B33" s="236">
        <v>47506515.384615384</v>
      </c>
      <c r="C33" s="237">
        <v>2.9</v>
      </c>
      <c r="D33" s="237">
        <v>85.4</v>
      </c>
      <c r="E33" s="237">
        <v>31</v>
      </c>
      <c r="F33" s="236">
        <v>0</v>
      </c>
      <c r="G33" s="236">
        <v>0</v>
      </c>
      <c r="H33" s="236"/>
      <c r="I33" s="26"/>
      <c r="J33" s="11"/>
      <c r="K33" s="41"/>
      <c r="L33" s="11"/>
      <c r="M33" s="132">
        <f t="shared" si="1"/>
        <v>0</v>
      </c>
      <c r="N33" s="28"/>
      <c r="O33" s="28"/>
      <c r="P33" s="28"/>
      <c r="Q33" s="28"/>
      <c r="R33" s="28"/>
      <c r="S33" s="28"/>
      <c r="T33" s="28"/>
      <c r="U33" s="28"/>
      <c r="V33" s="28"/>
    </row>
    <row r="34" spans="1:22" ht="13" x14ac:dyDescent="0.3">
      <c r="A34" s="275">
        <v>40756</v>
      </c>
      <c r="B34" s="236">
        <v>45624407.692307696</v>
      </c>
      <c r="C34" s="237">
        <v>16.7</v>
      </c>
      <c r="D34" s="237">
        <v>45.9</v>
      </c>
      <c r="E34" s="236">
        <v>31</v>
      </c>
      <c r="F34" s="236">
        <v>0</v>
      </c>
      <c r="G34" s="236">
        <v>0</v>
      </c>
      <c r="H34" s="236"/>
      <c r="I34" s="26"/>
      <c r="J34" s="11"/>
      <c r="L34" s="11"/>
      <c r="M34" s="132">
        <f t="shared" si="1"/>
        <v>0</v>
      </c>
      <c r="N34" s="28"/>
      <c r="O34" s="28"/>
      <c r="P34" s="28"/>
      <c r="Q34" s="28"/>
      <c r="R34" s="28"/>
      <c r="S34" s="28"/>
      <c r="T34" s="28"/>
      <c r="U34" s="28"/>
      <c r="V34" s="28"/>
    </row>
    <row r="35" spans="1:22" ht="13" x14ac:dyDescent="0.3">
      <c r="A35" s="275">
        <v>40787</v>
      </c>
      <c r="B35" s="236">
        <v>42233746.15384616</v>
      </c>
      <c r="C35" s="237">
        <v>116.4</v>
      </c>
      <c r="D35" s="237">
        <v>17.899999999999999</v>
      </c>
      <c r="E35" s="236">
        <v>30</v>
      </c>
      <c r="F35" s="236">
        <v>1</v>
      </c>
      <c r="G35" s="236">
        <v>0</v>
      </c>
      <c r="H35" s="236"/>
      <c r="I35" s="26"/>
      <c r="J35" s="11"/>
      <c r="L35" s="11"/>
      <c r="M35" s="132">
        <f t="shared" si="1"/>
        <v>0</v>
      </c>
      <c r="N35" s="28"/>
      <c r="O35" s="28"/>
      <c r="P35" s="28"/>
      <c r="Q35" s="28"/>
      <c r="R35" s="28"/>
      <c r="S35" s="28"/>
      <c r="T35" s="28"/>
      <c r="U35" s="28"/>
      <c r="V35" s="28"/>
    </row>
    <row r="36" spans="1:22" ht="13.5" thickBot="1" x14ac:dyDescent="0.35">
      <c r="A36" s="275">
        <v>40817</v>
      </c>
      <c r="B36" s="236">
        <v>43980523.07692308</v>
      </c>
      <c r="C36" s="237">
        <v>295.3</v>
      </c>
      <c r="D36" s="237">
        <v>1.5</v>
      </c>
      <c r="E36" s="236">
        <v>31</v>
      </c>
      <c r="F36" s="236">
        <v>1</v>
      </c>
      <c r="G36" s="236">
        <v>0</v>
      </c>
      <c r="H36" s="236"/>
      <c r="I36" s="26"/>
      <c r="J36" s="11"/>
      <c r="L36" s="11"/>
      <c r="M36" s="132">
        <f t="shared" si="1"/>
        <v>0</v>
      </c>
      <c r="N36" s="29"/>
      <c r="O36" s="29"/>
      <c r="P36" s="29"/>
      <c r="Q36" s="29"/>
      <c r="R36" s="29"/>
      <c r="S36" s="29"/>
      <c r="T36" s="29"/>
      <c r="U36" s="29"/>
      <c r="V36" s="29"/>
    </row>
    <row r="37" spans="1:22" ht="13" x14ac:dyDescent="0.3">
      <c r="A37" s="275">
        <v>40848</v>
      </c>
      <c r="B37" s="236">
        <v>47499561.538461544</v>
      </c>
      <c r="C37" s="237">
        <v>464.8</v>
      </c>
      <c r="D37" s="237">
        <v>0</v>
      </c>
      <c r="E37" s="236">
        <v>30</v>
      </c>
      <c r="F37" s="236">
        <v>1</v>
      </c>
      <c r="G37" s="236">
        <v>0</v>
      </c>
      <c r="H37" s="236"/>
      <c r="I37" s="26"/>
      <c r="J37" s="11"/>
      <c r="L37" s="11"/>
      <c r="M37" s="132">
        <f t="shared" si="1"/>
        <v>0</v>
      </c>
      <c r="N37"/>
      <c r="O37"/>
      <c r="P37"/>
      <c r="Q37"/>
      <c r="R37"/>
      <c r="S37"/>
      <c r="T37"/>
      <c r="U37"/>
      <c r="V37"/>
    </row>
    <row r="38" spans="1:22" ht="13" x14ac:dyDescent="0.3">
      <c r="A38" s="275">
        <v>40878</v>
      </c>
      <c r="B38" s="236">
        <v>55561307.692307696</v>
      </c>
      <c r="C38" s="237">
        <v>751.1</v>
      </c>
      <c r="D38" s="237">
        <v>0</v>
      </c>
      <c r="E38" s="236">
        <v>31</v>
      </c>
      <c r="F38" s="236">
        <v>0</v>
      </c>
      <c r="G38" s="236">
        <v>0</v>
      </c>
      <c r="H38" s="236"/>
      <c r="I38" s="26"/>
      <c r="J38" s="11"/>
      <c r="L38" s="11"/>
      <c r="M38" s="132">
        <f t="shared" si="1"/>
        <v>0</v>
      </c>
      <c r="N38"/>
      <c r="O38"/>
      <c r="P38"/>
      <c r="Q38"/>
      <c r="R38"/>
      <c r="S38"/>
      <c r="T38"/>
      <c r="U38"/>
      <c r="V38"/>
    </row>
    <row r="39" spans="1:22" ht="13" x14ac:dyDescent="0.3">
      <c r="A39" s="275">
        <v>40909</v>
      </c>
      <c r="B39" s="236">
        <v>60440353.846153855</v>
      </c>
      <c r="C39" s="237">
        <v>855.4</v>
      </c>
      <c r="D39" s="237">
        <v>0</v>
      </c>
      <c r="E39" s="236">
        <v>31</v>
      </c>
      <c r="F39" s="236">
        <v>0</v>
      </c>
      <c r="G39" s="236">
        <v>1</v>
      </c>
      <c r="H39" s="236"/>
      <c r="I39" s="26"/>
      <c r="J39" s="11"/>
      <c r="L39" s="11"/>
      <c r="M39" s="132">
        <f t="shared" si="1"/>
        <v>0</v>
      </c>
      <c r="N39"/>
      <c r="O39"/>
      <c r="P39"/>
      <c r="Q39"/>
      <c r="R39"/>
      <c r="S39"/>
      <c r="T39"/>
      <c r="U39"/>
      <c r="V39"/>
    </row>
    <row r="40" spans="1:22" ht="13" x14ac:dyDescent="0.3">
      <c r="A40" s="275">
        <v>40940</v>
      </c>
      <c r="B40" s="236">
        <v>53240192.307692312</v>
      </c>
      <c r="C40" s="237">
        <v>717.6</v>
      </c>
      <c r="D40" s="237">
        <v>0</v>
      </c>
      <c r="E40" s="236">
        <v>29</v>
      </c>
      <c r="F40" s="236">
        <v>0</v>
      </c>
      <c r="G40" s="236">
        <v>1</v>
      </c>
      <c r="H40" s="236"/>
      <c r="I40" s="26"/>
      <c r="J40" s="11"/>
      <c r="L40" s="11"/>
      <c r="M40" s="132">
        <f t="shared" si="1"/>
        <v>0</v>
      </c>
    </row>
    <row r="41" spans="1:22" ht="13" x14ac:dyDescent="0.3">
      <c r="A41" s="275">
        <v>40969</v>
      </c>
      <c r="B41" s="236">
        <v>51166853.846153848</v>
      </c>
      <c r="C41" s="237">
        <v>510.4</v>
      </c>
      <c r="D41" s="237">
        <v>0.7</v>
      </c>
      <c r="E41" s="236">
        <v>31</v>
      </c>
      <c r="F41" s="236">
        <v>1</v>
      </c>
      <c r="G41" s="236">
        <v>1</v>
      </c>
      <c r="H41" s="236"/>
      <c r="I41" s="26"/>
      <c r="J41" s="11"/>
      <c r="L41" s="11"/>
      <c r="M41" s="132">
        <f t="shared" si="1"/>
        <v>0</v>
      </c>
    </row>
    <row r="42" spans="1:22" ht="13" x14ac:dyDescent="0.3">
      <c r="A42" s="275">
        <v>41000</v>
      </c>
      <c r="B42" s="236">
        <v>44760523.07692308</v>
      </c>
      <c r="C42" s="237">
        <v>425.7</v>
      </c>
      <c r="D42" s="237">
        <v>0</v>
      </c>
      <c r="E42" s="236">
        <v>30</v>
      </c>
      <c r="F42" s="236">
        <v>1</v>
      </c>
      <c r="G42" s="236">
        <v>1</v>
      </c>
      <c r="H42" s="236"/>
      <c r="I42" s="26"/>
      <c r="J42" s="11"/>
      <c r="L42" s="11"/>
      <c r="M42" s="132">
        <f t="shared" si="1"/>
        <v>0</v>
      </c>
    </row>
    <row r="43" spans="1:22" ht="13" x14ac:dyDescent="0.3">
      <c r="A43" s="275">
        <v>41030</v>
      </c>
      <c r="B43" s="236">
        <v>41974454.545454547</v>
      </c>
      <c r="C43" s="237">
        <v>138.19999999999999</v>
      </c>
      <c r="D43" s="237">
        <v>13.8</v>
      </c>
      <c r="E43" s="236">
        <v>31</v>
      </c>
      <c r="F43" s="236">
        <v>1</v>
      </c>
      <c r="G43" s="236">
        <v>1</v>
      </c>
      <c r="H43" s="236"/>
      <c r="I43" s="26"/>
      <c r="J43" s="11"/>
      <c r="L43" s="11"/>
      <c r="M43" s="132">
        <f t="shared" si="1"/>
        <v>0</v>
      </c>
    </row>
    <row r="44" spans="1:22" ht="13" x14ac:dyDescent="0.3">
      <c r="A44" s="275">
        <v>41061</v>
      </c>
      <c r="B44" s="236">
        <v>43023081.909090899</v>
      </c>
      <c r="C44" s="237">
        <v>50.5</v>
      </c>
      <c r="D44" s="237">
        <v>49.1</v>
      </c>
      <c r="E44" s="236">
        <v>30</v>
      </c>
      <c r="F44" s="236">
        <v>0</v>
      </c>
      <c r="G44" s="236">
        <v>1</v>
      </c>
      <c r="H44" s="236"/>
      <c r="I44" s="26"/>
      <c r="J44" s="11"/>
      <c r="L44" s="11"/>
      <c r="M44" s="132">
        <f t="shared" si="1"/>
        <v>0</v>
      </c>
    </row>
    <row r="45" spans="1:22" ht="13" x14ac:dyDescent="0.3">
      <c r="A45" s="275">
        <v>41091</v>
      </c>
      <c r="B45" s="236">
        <v>46297145.545454502</v>
      </c>
      <c r="C45" s="237">
        <v>2.2000000000000002</v>
      </c>
      <c r="D45" s="237">
        <v>78.3</v>
      </c>
      <c r="E45" s="236">
        <v>31</v>
      </c>
      <c r="F45" s="236">
        <v>0</v>
      </c>
      <c r="G45" s="236">
        <v>1</v>
      </c>
      <c r="H45" s="236"/>
      <c r="I45" s="26"/>
      <c r="J45" s="11"/>
      <c r="L45" s="11"/>
      <c r="M45" s="132">
        <f t="shared" si="1"/>
        <v>0</v>
      </c>
    </row>
    <row r="46" spans="1:22" ht="13" x14ac:dyDescent="0.3">
      <c r="A46" s="275">
        <v>41122</v>
      </c>
      <c r="B46" s="236">
        <v>43563745.190909103</v>
      </c>
      <c r="C46" s="237">
        <v>27</v>
      </c>
      <c r="D46" s="237">
        <v>44.9</v>
      </c>
      <c r="E46" s="236">
        <v>31</v>
      </c>
      <c r="F46" s="236">
        <v>0</v>
      </c>
      <c r="G46" s="236">
        <v>1</v>
      </c>
      <c r="H46" s="236"/>
      <c r="I46" s="26"/>
      <c r="J46" s="11"/>
      <c r="L46" s="11"/>
      <c r="M46" s="132">
        <f t="shared" si="1"/>
        <v>0</v>
      </c>
    </row>
    <row r="47" spans="1:22" ht="13" x14ac:dyDescent="0.3">
      <c r="A47" s="275">
        <v>41153</v>
      </c>
      <c r="B47" s="236">
        <v>40969381.861818202</v>
      </c>
      <c r="C47" s="237">
        <v>163</v>
      </c>
      <c r="D47" s="237">
        <v>12.4</v>
      </c>
      <c r="E47" s="236">
        <v>30</v>
      </c>
      <c r="F47" s="236">
        <v>1</v>
      </c>
      <c r="G47" s="236">
        <v>1</v>
      </c>
      <c r="H47" s="236"/>
      <c r="I47" s="26"/>
      <c r="J47" s="11"/>
      <c r="L47" s="11"/>
      <c r="M47" s="132">
        <f t="shared" si="1"/>
        <v>0</v>
      </c>
    </row>
    <row r="48" spans="1:22" ht="13" x14ac:dyDescent="0.3">
      <c r="A48" s="275">
        <v>41183</v>
      </c>
      <c r="B48" s="236">
        <v>43802874.826363601</v>
      </c>
      <c r="C48" s="237">
        <v>331</v>
      </c>
      <c r="D48" s="237">
        <v>0</v>
      </c>
      <c r="E48" s="236">
        <v>31</v>
      </c>
      <c r="F48" s="236">
        <v>1</v>
      </c>
      <c r="G48" s="236">
        <v>1</v>
      </c>
      <c r="H48" s="236"/>
      <c r="I48" s="26"/>
      <c r="J48" s="11"/>
      <c r="L48" s="11"/>
      <c r="M48" s="132">
        <f t="shared" si="1"/>
        <v>0</v>
      </c>
    </row>
    <row r="49" spans="1:22" ht="13" x14ac:dyDescent="0.3">
      <c r="A49" s="275">
        <v>41214</v>
      </c>
      <c r="B49" s="236">
        <v>48147860.479999997</v>
      </c>
      <c r="C49" s="237">
        <v>549.70000000000005</v>
      </c>
      <c r="D49" s="237">
        <v>0</v>
      </c>
      <c r="E49" s="236">
        <v>30</v>
      </c>
      <c r="F49" s="236">
        <v>1</v>
      </c>
      <c r="G49" s="236">
        <v>1</v>
      </c>
      <c r="H49" s="236"/>
      <c r="I49" s="26"/>
      <c r="J49" s="11"/>
      <c r="L49" s="11"/>
      <c r="M49" s="132">
        <f t="shared" si="1"/>
        <v>0</v>
      </c>
    </row>
    <row r="50" spans="1:22" ht="13" x14ac:dyDescent="0.3">
      <c r="A50" s="275">
        <v>41244</v>
      </c>
      <c r="B50" s="236">
        <v>55226225.239999995</v>
      </c>
      <c r="C50" s="237">
        <v>770.6</v>
      </c>
      <c r="D50" s="237">
        <v>0</v>
      </c>
      <c r="E50" s="236">
        <v>31</v>
      </c>
      <c r="F50" s="236">
        <v>0</v>
      </c>
      <c r="G50" s="236">
        <v>1</v>
      </c>
      <c r="H50" s="236"/>
      <c r="I50" s="26"/>
      <c r="J50" s="11"/>
      <c r="L50" s="11"/>
      <c r="M50" s="132">
        <f t="shared" si="1"/>
        <v>0</v>
      </c>
    </row>
    <row r="51" spans="1:22" ht="13" x14ac:dyDescent="0.3">
      <c r="A51" s="275">
        <v>41275</v>
      </c>
      <c r="B51" s="236">
        <v>60327761.510000005</v>
      </c>
      <c r="C51" s="237">
        <v>892.80000000000007</v>
      </c>
      <c r="D51" s="237">
        <v>0</v>
      </c>
      <c r="E51" s="236">
        <v>31</v>
      </c>
      <c r="F51" s="236">
        <v>0</v>
      </c>
      <c r="G51" s="236">
        <v>1</v>
      </c>
      <c r="H51" s="236"/>
      <c r="I51" s="26"/>
      <c r="J51" s="11"/>
      <c r="L51" s="11"/>
      <c r="M51" s="132">
        <f t="shared" si="1"/>
        <v>0</v>
      </c>
    </row>
    <row r="52" spans="1:22" ht="13" x14ac:dyDescent="0.3">
      <c r="A52" s="275">
        <v>41306</v>
      </c>
      <c r="B52" s="236">
        <v>53600343.009999998</v>
      </c>
      <c r="C52" s="237">
        <v>801.40000000000009</v>
      </c>
      <c r="D52" s="237">
        <v>0</v>
      </c>
      <c r="E52" s="236">
        <v>28</v>
      </c>
      <c r="F52" s="236">
        <v>0</v>
      </c>
      <c r="G52" s="236">
        <v>1</v>
      </c>
      <c r="H52" s="236"/>
      <c r="I52" s="26"/>
      <c r="J52" s="11"/>
      <c r="L52" s="11"/>
      <c r="M52" s="132">
        <f t="shared" si="1"/>
        <v>0</v>
      </c>
    </row>
    <row r="53" spans="1:22" ht="13" x14ac:dyDescent="0.3">
      <c r="A53" s="275">
        <v>41334</v>
      </c>
      <c r="B53" s="236">
        <v>52121235.689999998</v>
      </c>
      <c r="C53" s="237">
        <v>685.19999999999982</v>
      </c>
      <c r="D53" s="237">
        <v>0</v>
      </c>
      <c r="E53" s="236">
        <v>31</v>
      </c>
      <c r="F53" s="236">
        <v>1</v>
      </c>
      <c r="G53" s="236">
        <v>1</v>
      </c>
      <c r="H53" s="236"/>
      <c r="I53" s="26"/>
      <c r="J53" s="11"/>
      <c r="L53" s="11"/>
      <c r="M53" s="132">
        <f t="shared" si="1"/>
        <v>0</v>
      </c>
    </row>
    <row r="54" spans="1:22" ht="13" x14ac:dyDescent="0.3">
      <c r="A54" s="275">
        <v>41365</v>
      </c>
      <c r="B54" s="236">
        <v>46644026.119999997</v>
      </c>
      <c r="C54" s="237">
        <v>496.25000000000011</v>
      </c>
      <c r="D54" s="237">
        <v>0</v>
      </c>
      <c r="E54" s="236">
        <v>30</v>
      </c>
      <c r="F54" s="236">
        <v>1</v>
      </c>
      <c r="G54" s="236">
        <v>1</v>
      </c>
      <c r="H54" s="236"/>
      <c r="I54" s="26"/>
      <c r="J54" s="11"/>
      <c r="L54" s="11"/>
      <c r="M54" s="132">
        <f t="shared" si="1"/>
        <v>0</v>
      </c>
      <c r="N54"/>
      <c r="O54" s="274"/>
      <c r="P54"/>
      <c r="Q54"/>
      <c r="R54"/>
      <c r="S54"/>
      <c r="T54"/>
      <c r="U54"/>
      <c r="V54"/>
    </row>
    <row r="55" spans="1:22" ht="13" x14ac:dyDescent="0.3">
      <c r="A55" s="275">
        <v>41395</v>
      </c>
      <c r="B55" s="236">
        <v>41426399.170000002</v>
      </c>
      <c r="C55" s="237">
        <v>198.95</v>
      </c>
      <c r="D55" s="237">
        <v>9.6999999999999993</v>
      </c>
      <c r="E55" s="236">
        <v>31</v>
      </c>
      <c r="F55" s="236">
        <v>1</v>
      </c>
      <c r="G55" s="236">
        <v>1</v>
      </c>
      <c r="H55" s="236"/>
      <c r="I55" s="26"/>
      <c r="J55" s="11"/>
      <c r="L55" s="11"/>
      <c r="M55" s="132">
        <f t="shared" si="1"/>
        <v>0</v>
      </c>
    </row>
    <row r="56" spans="1:22" ht="13" x14ac:dyDescent="0.3">
      <c r="A56" s="275">
        <v>41426</v>
      </c>
      <c r="B56" s="236">
        <v>39734886.469999999</v>
      </c>
      <c r="C56" s="237">
        <v>102.54999999999998</v>
      </c>
      <c r="D56" s="237">
        <v>15.000000000000004</v>
      </c>
      <c r="E56" s="236">
        <v>30</v>
      </c>
      <c r="F56" s="236">
        <v>0</v>
      </c>
      <c r="G56" s="236">
        <v>1</v>
      </c>
      <c r="H56" s="236"/>
      <c r="I56" s="26"/>
      <c r="J56" s="11"/>
      <c r="L56" s="11"/>
      <c r="M56" s="132">
        <f t="shared" si="1"/>
        <v>0</v>
      </c>
    </row>
    <row r="57" spans="1:22" ht="13" x14ac:dyDescent="0.3">
      <c r="A57" s="275">
        <v>41456</v>
      </c>
      <c r="B57" s="236">
        <v>44872689.950000003</v>
      </c>
      <c r="C57" s="237">
        <v>39.149999999999984</v>
      </c>
      <c r="D57" s="237">
        <v>52.79999999999999</v>
      </c>
      <c r="E57" s="236">
        <v>31</v>
      </c>
      <c r="F57" s="236">
        <v>0</v>
      </c>
      <c r="G57" s="236">
        <v>1</v>
      </c>
      <c r="H57" s="236"/>
      <c r="I57" s="26"/>
      <c r="J57" s="11"/>
      <c r="L57" s="11"/>
      <c r="M57" s="132">
        <f t="shared" si="1"/>
        <v>0</v>
      </c>
    </row>
    <row r="58" spans="1:22" ht="13" x14ac:dyDescent="0.3">
      <c r="A58" s="275">
        <v>41487</v>
      </c>
      <c r="B58" s="236">
        <v>42128550.090000004</v>
      </c>
      <c r="C58" s="237">
        <v>49.000000000000014</v>
      </c>
      <c r="D58" s="237">
        <v>23.449999999999992</v>
      </c>
      <c r="E58" s="236">
        <v>31</v>
      </c>
      <c r="F58" s="236">
        <v>0</v>
      </c>
      <c r="G58" s="236">
        <v>1</v>
      </c>
      <c r="H58" s="236"/>
      <c r="I58" s="26"/>
      <c r="J58" s="11"/>
      <c r="L58" s="11"/>
      <c r="M58" s="132">
        <f t="shared" si="1"/>
        <v>0</v>
      </c>
    </row>
    <row r="59" spans="1:22" ht="13" x14ac:dyDescent="0.3">
      <c r="A59" s="275">
        <v>41518</v>
      </c>
      <c r="B59" s="236">
        <v>39409892.280000001</v>
      </c>
      <c r="C59" s="237">
        <v>181.75</v>
      </c>
      <c r="D59" s="237">
        <v>1.6499999999999986</v>
      </c>
      <c r="E59" s="236">
        <v>30</v>
      </c>
      <c r="F59" s="236">
        <v>1</v>
      </c>
      <c r="G59" s="236">
        <v>1</v>
      </c>
      <c r="H59" s="236"/>
      <c r="I59" s="26"/>
      <c r="J59" s="11"/>
      <c r="L59" s="11"/>
      <c r="M59" s="132">
        <f t="shared" si="1"/>
        <v>0</v>
      </c>
    </row>
    <row r="60" spans="1:22" ht="13" x14ac:dyDescent="0.3">
      <c r="A60" s="275">
        <v>41548</v>
      </c>
      <c r="B60" s="236">
        <v>43095283.710000001</v>
      </c>
      <c r="C60" s="237">
        <v>321.95</v>
      </c>
      <c r="D60" s="237">
        <v>0</v>
      </c>
      <c r="E60" s="236">
        <v>31</v>
      </c>
      <c r="F60" s="236">
        <v>1</v>
      </c>
      <c r="G60" s="236">
        <v>1</v>
      </c>
      <c r="H60" s="236"/>
      <c r="I60" s="26"/>
      <c r="J60" s="11"/>
      <c r="L60" s="11"/>
      <c r="M60" s="132">
        <f t="shared" si="1"/>
        <v>0</v>
      </c>
    </row>
    <row r="61" spans="1:22" ht="13" x14ac:dyDescent="0.3">
      <c r="A61" s="275">
        <v>41579</v>
      </c>
      <c r="B61" s="236">
        <v>49774197.399999999</v>
      </c>
      <c r="C61" s="237">
        <v>625.75</v>
      </c>
      <c r="D61" s="237">
        <v>0</v>
      </c>
      <c r="E61" s="236">
        <v>30</v>
      </c>
      <c r="F61" s="236">
        <v>1</v>
      </c>
      <c r="G61" s="236">
        <v>1</v>
      </c>
      <c r="H61" s="236"/>
      <c r="I61" s="26"/>
      <c r="J61" s="11"/>
      <c r="L61" s="11"/>
      <c r="M61" s="132">
        <f t="shared" si="1"/>
        <v>0</v>
      </c>
    </row>
    <row r="62" spans="1:22" ht="13" x14ac:dyDescent="0.3">
      <c r="A62" s="275">
        <v>41609</v>
      </c>
      <c r="B62" s="236">
        <v>60036819.376666702</v>
      </c>
      <c r="C62" s="237">
        <v>964.3</v>
      </c>
      <c r="D62" s="237">
        <v>0</v>
      </c>
      <c r="E62" s="236">
        <v>31</v>
      </c>
      <c r="F62" s="236">
        <v>0</v>
      </c>
      <c r="G62" s="236">
        <v>1</v>
      </c>
      <c r="H62" s="236"/>
      <c r="I62" s="26"/>
      <c r="J62" s="11"/>
      <c r="L62" s="11"/>
      <c r="M62" s="132">
        <f t="shared" si="1"/>
        <v>0</v>
      </c>
    </row>
    <row r="63" spans="1:22" ht="13" x14ac:dyDescent="0.3">
      <c r="A63" s="275">
        <v>41640</v>
      </c>
      <c r="B63" s="255">
        <v>63463232.333333299</v>
      </c>
      <c r="C63" s="256">
        <v>1024.8</v>
      </c>
      <c r="D63" s="256">
        <v>0</v>
      </c>
      <c r="E63" s="255">
        <v>31</v>
      </c>
      <c r="F63" s="255">
        <v>0</v>
      </c>
      <c r="G63" s="255">
        <v>1</v>
      </c>
      <c r="H63" s="236"/>
      <c r="I63" s="26"/>
      <c r="J63" s="11"/>
      <c r="L63" s="11"/>
      <c r="M63" s="132">
        <f t="shared" ref="M63:M128" si="2">ABS(L63/B63)</f>
        <v>0</v>
      </c>
    </row>
    <row r="64" spans="1:22" ht="13" x14ac:dyDescent="0.3">
      <c r="A64" s="275">
        <v>41671</v>
      </c>
      <c r="B64" s="255">
        <v>54070343</v>
      </c>
      <c r="C64" s="256">
        <v>883.40000000000009</v>
      </c>
      <c r="D64" s="256">
        <v>0</v>
      </c>
      <c r="E64" s="255">
        <v>28</v>
      </c>
      <c r="F64" s="255">
        <v>0</v>
      </c>
      <c r="G64" s="255">
        <v>1</v>
      </c>
      <c r="H64" s="236"/>
      <c r="I64" s="26"/>
      <c r="J64" s="11"/>
      <c r="L64" s="11"/>
      <c r="M64" s="132">
        <f t="shared" si="2"/>
        <v>0</v>
      </c>
    </row>
    <row r="65" spans="1:22" ht="13" x14ac:dyDescent="0.3">
      <c r="A65" s="275">
        <v>41699</v>
      </c>
      <c r="B65" s="255">
        <v>56439184.730000004</v>
      </c>
      <c r="C65" s="256">
        <v>879.69999999999982</v>
      </c>
      <c r="D65" s="256">
        <v>0</v>
      </c>
      <c r="E65" s="255">
        <v>31</v>
      </c>
      <c r="F65" s="255">
        <v>1</v>
      </c>
      <c r="G65" s="255">
        <v>1</v>
      </c>
      <c r="H65" s="236"/>
      <c r="I65" s="26"/>
      <c r="J65" s="11"/>
      <c r="L65" s="11"/>
      <c r="M65" s="132">
        <f t="shared" si="2"/>
        <v>0</v>
      </c>
    </row>
    <row r="66" spans="1:22" ht="13" x14ac:dyDescent="0.3">
      <c r="A66" s="275">
        <v>41730</v>
      </c>
      <c r="B66" s="255">
        <v>44570606.713333301</v>
      </c>
      <c r="C66" s="256">
        <v>482.99999999999994</v>
      </c>
      <c r="D66" s="256">
        <v>0</v>
      </c>
      <c r="E66" s="255">
        <v>30</v>
      </c>
      <c r="F66" s="255">
        <v>1</v>
      </c>
      <c r="G66" s="255">
        <v>1</v>
      </c>
      <c r="H66" s="236"/>
      <c r="I66" s="26"/>
      <c r="J66" s="11"/>
      <c r="L66" s="11"/>
      <c r="M66" s="132">
        <f t="shared" si="2"/>
        <v>0</v>
      </c>
    </row>
    <row r="67" spans="1:22" ht="13" x14ac:dyDescent="0.3">
      <c r="A67" s="275">
        <v>41760</v>
      </c>
      <c r="B67" s="255">
        <v>39797076.2330769</v>
      </c>
      <c r="C67" s="256">
        <v>199.79999999999998</v>
      </c>
      <c r="D67" s="256">
        <v>1.3</v>
      </c>
      <c r="E67" s="255">
        <v>31</v>
      </c>
      <c r="F67" s="255">
        <v>1</v>
      </c>
      <c r="G67" s="255">
        <v>1</v>
      </c>
      <c r="H67" s="236"/>
      <c r="I67" s="26"/>
      <c r="J67" s="11"/>
      <c r="L67" s="11"/>
      <c r="M67" s="132">
        <f t="shared" si="2"/>
        <v>0</v>
      </c>
    </row>
    <row r="68" spans="1:22" ht="13" x14ac:dyDescent="0.3">
      <c r="A68" s="275">
        <v>41791</v>
      </c>
      <c r="B68" s="255">
        <v>39266619.640000001</v>
      </c>
      <c r="C68" s="256">
        <v>53.399999999999991</v>
      </c>
      <c r="D68" s="256">
        <v>24.1</v>
      </c>
      <c r="E68" s="255">
        <v>30</v>
      </c>
      <c r="F68" s="255">
        <v>0</v>
      </c>
      <c r="G68" s="255">
        <v>1</v>
      </c>
      <c r="H68" s="236"/>
      <c r="I68" s="26"/>
      <c r="J68" s="11"/>
      <c r="L68" s="11"/>
      <c r="M68" s="132">
        <f t="shared" si="2"/>
        <v>0</v>
      </c>
    </row>
    <row r="69" spans="1:22" ht="13" x14ac:dyDescent="0.3">
      <c r="A69" s="275">
        <v>41821</v>
      </c>
      <c r="B69" s="255">
        <v>40614145.310000002</v>
      </c>
      <c r="C69" s="256">
        <v>57.800000000000004</v>
      </c>
      <c r="D69" s="256">
        <v>17.900000000000002</v>
      </c>
      <c r="E69" s="255">
        <v>31</v>
      </c>
      <c r="F69" s="255">
        <v>0</v>
      </c>
      <c r="G69" s="255">
        <v>1</v>
      </c>
      <c r="H69" s="236"/>
      <c r="I69" s="26"/>
      <c r="J69" s="11"/>
      <c r="L69" s="11"/>
      <c r="M69" s="132">
        <f t="shared" si="2"/>
        <v>0</v>
      </c>
    </row>
    <row r="70" spans="1:22" ht="13" x14ac:dyDescent="0.3">
      <c r="A70" s="275">
        <v>41852</v>
      </c>
      <c r="B70" s="255">
        <v>40130105.350000001</v>
      </c>
      <c r="C70" s="256">
        <v>60</v>
      </c>
      <c r="D70" s="256">
        <v>16.399999999999999</v>
      </c>
      <c r="E70" s="255">
        <v>31</v>
      </c>
      <c r="F70" s="255">
        <v>0</v>
      </c>
      <c r="G70" s="255">
        <v>1</v>
      </c>
      <c r="H70" s="236"/>
      <c r="I70" s="26"/>
      <c r="J70" s="11"/>
      <c r="L70" s="11"/>
      <c r="M70" s="132">
        <f t="shared" si="2"/>
        <v>0</v>
      </c>
    </row>
    <row r="71" spans="1:22" ht="13" x14ac:dyDescent="0.3">
      <c r="A71" s="275">
        <v>41883</v>
      </c>
      <c r="B71" s="255">
        <v>39320268.8430769</v>
      </c>
      <c r="C71" s="256">
        <v>157</v>
      </c>
      <c r="D71" s="256">
        <v>4.5999999999999996</v>
      </c>
      <c r="E71" s="255">
        <v>30</v>
      </c>
      <c r="F71" s="255">
        <v>1</v>
      </c>
      <c r="G71" s="255">
        <v>1</v>
      </c>
      <c r="H71" s="236"/>
      <c r="I71" s="26"/>
      <c r="J71" s="11"/>
      <c r="L71" s="11"/>
      <c r="M71" s="132">
        <f t="shared" si="2"/>
        <v>0</v>
      </c>
    </row>
    <row r="72" spans="1:22" ht="13" x14ac:dyDescent="0.3">
      <c r="A72" s="275">
        <v>41913</v>
      </c>
      <c r="B72" s="255">
        <v>41890567.630000003</v>
      </c>
      <c r="C72" s="256">
        <v>341.59999999999997</v>
      </c>
      <c r="D72" s="256">
        <v>0</v>
      </c>
      <c r="E72" s="255">
        <v>31</v>
      </c>
      <c r="F72" s="255">
        <v>1</v>
      </c>
      <c r="G72" s="255">
        <v>1</v>
      </c>
      <c r="H72" s="236"/>
      <c r="I72" s="26"/>
      <c r="J72" s="11"/>
      <c r="L72" s="11"/>
      <c r="M72" s="132">
        <f t="shared" si="2"/>
        <v>0</v>
      </c>
    </row>
    <row r="73" spans="1:22" ht="13" x14ac:dyDescent="0.3">
      <c r="A73" s="275">
        <v>41944</v>
      </c>
      <c r="B73" s="255">
        <v>48281109.329999998</v>
      </c>
      <c r="C73" s="256">
        <v>642.99999999999989</v>
      </c>
      <c r="D73" s="256">
        <v>0</v>
      </c>
      <c r="E73" s="255">
        <v>30</v>
      </c>
      <c r="F73" s="255">
        <v>1</v>
      </c>
      <c r="G73" s="255">
        <v>1</v>
      </c>
      <c r="H73" s="236"/>
      <c r="I73" s="26"/>
      <c r="J73" s="11"/>
      <c r="L73" s="11"/>
      <c r="M73" s="132">
        <f t="shared" si="2"/>
        <v>0</v>
      </c>
    </row>
    <row r="74" spans="1:22" ht="13" x14ac:dyDescent="0.3">
      <c r="A74" s="275">
        <v>41974</v>
      </c>
      <c r="B74" s="255">
        <v>53346472.609999999</v>
      </c>
      <c r="C74" s="256">
        <v>710.49999999999989</v>
      </c>
      <c r="D74" s="256">
        <v>0</v>
      </c>
      <c r="E74" s="255">
        <v>31</v>
      </c>
      <c r="F74" s="255">
        <v>0</v>
      </c>
      <c r="G74" s="255">
        <v>1</v>
      </c>
      <c r="H74" s="236"/>
      <c r="I74" s="26"/>
      <c r="J74" s="11"/>
      <c r="L74" s="11"/>
      <c r="M74" s="132">
        <f t="shared" si="2"/>
        <v>0</v>
      </c>
    </row>
    <row r="75" spans="1:22" ht="13" x14ac:dyDescent="0.3">
      <c r="A75" s="275"/>
      <c r="B75" s="255"/>
      <c r="C75" s="256"/>
      <c r="D75" s="256"/>
      <c r="E75" s="255"/>
      <c r="F75" s="255"/>
      <c r="G75" s="255"/>
      <c r="H75" s="236"/>
      <c r="I75" s="26"/>
      <c r="J75" s="11"/>
      <c r="L75" s="11"/>
      <c r="M75" s="132"/>
    </row>
    <row r="76" spans="1:22" ht="38" x14ac:dyDescent="0.3">
      <c r="A76" s="317"/>
      <c r="B76" s="318" t="s">
        <v>0</v>
      </c>
      <c r="C76" s="319" t="s">
        <v>4</v>
      </c>
      <c r="D76" s="319" t="s">
        <v>5</v>
      </c>
      <c r="E76" s="319" t="s">
        <v>6</v>
      </c>
      <c r="F76" s="319" t="s">
        <v>18</v>
      </c>
      <c r="G76" s="319" t="s">
        <v>133</v>
      </c>
      <c r="H76" s="319" t="s">
        <v>11</v>
      </c>
      <c r="I76" s="117"/>
      <c r="J76" s="116"/>
      <c r="K76" s="134"/>
      <c r="L76" s="116" t="s">
        <v>12</v>
      </c>
      <c r="M76" s="116" t="s">
        <v>140</v>
      </c>
    </row>
    <row r="77" spans="1:22" ht="13" x14ac:dyDescent="0.3">
      <c r="A77" s="317">
        <v>42005</v>
      </c>
      <c r="B77" s="320">
        <v>60955014.140000008</v>
      </c>
      <c r="C77" s="321">
        <v>1064.75</v>
      </c>
      <c r="D77" s="321">
        <v>0</v>
      </c>
      <c r="E77" s="320">
        <v>31</v>
      </c>
      <c r="F77" s="320">
        <v>0</v>
      </c>
      <c r="G77" s="320">
        <v>1</v>
      </c>
      <c r="H77" s="320">
        <f>+C77*$O$94+D77*$O$95+E77*$O$96+F77*$O$97+$O$93</f>
        <v>56985475.180241689</v>
      </c>
      <c r="I77" s="26"/>
      <c r="J77" s="11"/>
      <c r="L77" s="11">
        <f t="shared" ref="L77:L128" si="3">H77-B77</f>
        <v>-3969538.959758319</v>
      </c>
      <c r="M77" s="132">
        <f t="shared" si="2"/>
        <v>6.5122435221509054E-2</v>
      </c>
      <c r="N77" t="s">
        <v>19</v>
      </c>
      <c r="O77"/>
      <c r="P77"/>
      <c r="Q77"/>
      <c r="R77"/>
      <c r="S77"/>
      <c r="T77"/>
      <c r="U77"/>
      <c r="V77"/>
    </row>
    <row r="78" spans="1:22" ht="13.5" thickBot="1" x14ac:dyDescent="0.35">
      <c r="A78" s="317">
        <v>42036</v>
      </c>
      <c r="B78" s="320">
        <v>56605601.299999997</v>
      </c>
      <c r="C78" s="321">
        <v>1041</v>
      </c>
      <c r="D78" s="321">
        <v>0</v>
      </c>
      <c r="E78" s="320">
        <v>28</v>
      </c>
      <c r="F78" s="320">
        <v>0</v>
      </c>
      <c r="G78" s="320">
        <v>1</v>
      </c>
      <c r="H78" s="320">
        <f t="shared" ref="H78:H136" si="4">+C78*$O$94+D78*$O$95+E78*$O$96+F78*$O$97+$O$93</f>
        <v>53881444.150750794</v>
      </c>
      <c r="I78" s="264"/>
      <c r="J78" s="265"/>
      <c r="K78" s="266"/>
      <c r="L78" s="11">
        <f t="shared" si="3"/>
        <v>-2724157.1492492035</v>
      </c>
      <c r="M78" s="132">
        <f t="shared" si="2"/>
        <v>4.8125222357618583E-2</v>
      </c>
      <c r="N78"/>
      <c r="O78"/>
      <c r="P78"/>
      <c r="Q78"/>
      <c r="R78"/>
      <c r="S78"/>
      <c r="T78"/>
      <c r="U78"/>
      <c r="V78"/>
    </row>
    <row r="79" spans="1:22" ht="13" x14ac:dyDescent="0.3">
      <c r="A79" s="317">
        <v>42064</v>
      </c>
      <c r="B79" s="320">
        <v>52369680.829999998</v>
      </c>
      <c r="C79" s="321">
        <v>801.24999999999989</v>
      </c>
      <c r="D79" s="321">
        <v>0</v>
      </c>
      <c r="E79" s="320">
        <v>31</v>
      </c>
      <c r="F79" s="320">
        <v>1</v>
      </c>
      <c r="G79" s="320">
        <v>1</v>
      </c>
      <c r="H79" s="320">
        <f t="shared" si="4"/>
        <v>49122029.11683625</v>
      </c>
      <c r="I79" s="264"/>
      <c r="J79" s="265"/>
      <c r="K79" s="266"/>
      <c r="L79" s="11">
        <f t="shared" si="3"/>
        <v>-3247651.7131637484</v>
      </c>
      <c r="M79" s="132">
        <f t="shared" si="2"/>
        <v>6.2013968038226605E-2</v>
      </c>
      <c r="N79" s="31" t="s">
        <v>20</v>
      </c>
      <c r="O79" s="31"/>
      <c r="P79"/>
      <c r="Q79"/>
      <c r="R79"/>
      <c r="S79"/>
      <c r="T79"/>
      <c r="U79"/>
      <c r="V79"/>
    </row>
    <row r="80" spans="1:22" ht="13" x14ac:dyDescent="0.3">
      <c r="A80" s="317">
        <v>42095</v>
      </c>
      <c r="B80" s="320">
        <v>42936932</v>
      </c>
      <c r="C80" s="321">
        <v>438.8</v>
      </c>
      <c r="D80" s="321">
        <v>0</v>
      </c>
      <c r="E80" s="320">
        <v>30</v>
      </c>
      <c r="F80" s="320">
        <v>1</v>
      </c>
      <c r="G80" s="320">
        <v>1</v>
      </c>
      <c r="H80" s="320">
        <f t="shared" si="4"/>
        <v>40310181.525333397</v>
      </c>
      <c r="I80" s="264"/>
      <c r="J80" s="265"/>
      <c r="K80" s="266"/>
      <c r="L80" s="11">
        <f t="shared" si="3"/>
        <v>-2626750.4746666029</v>
      </c>
      <c r="M80" s="132">
        <f t="shared" si="2"/>
        <v>6.1176948429072738E-2</v>
      </c>
      <c r="N80" s="28" t="s">
        <v>21</v>
      </c>
      <c r="O80" s="258">
        <v>0.97835139641235858</v>
      </c>
      <c r="P80"/>
      <c r="Q80"/>
      <c r="R80"/>
      <c r="S80"/>
      <c r="T80"/>
      <c r="U80"/>
      <c r="V80"/>
    </row>
    <row r="81" spans="1:22" ht="13" x14ac:dyDescent="0.3">
      <c r="A81" s="317">
        <v>42125</v>
      </c>
      <c r="B81" s="320">
        <v>38321444.109999999</v>
      </c>
      <c r="C81" s="321">
        <v>191.1</v>
      </c>
      <c r="D81" s="321">
        <v>8.1</v>
      </c>
      <c r="E81" s="320">
        <v>31</v>
      </c>
      <c r="F81" s="320">
        <v>1</v>
      </c>
      <c r="G81" s="320">
        <v>1</v>
      </c>
      <c r="H81" s="320">
        <f t="shared" si="4"/>
        <v>36625332.012147948</v>
      </c>
      <c r="I81" s="264"/>
      <c r="J81" s="265"/>
      <c r="K81" s="266"/>
      <c r="L81" s="11">
        <f t="shared" si="3"/>
        <v>-1696112.0978520513</v>
      </c>
      <c r="M81" s="132">
        <f t="shared" si="2"/>
        <v>4.426012999362542E-2</v>
      </c>
      <c r="N81" s="28" t="s">
        <v>22</v>
      </c>
      <c r="O81" s="258">
        <v>0.95717145486201205</v>
      </c>
      <c r="P81"/>
      <c r="Q81"/>
      <c r="R81"/>
      <c r="S81"/>
      <c r="T81"/>
      <c r="U81"/>
      <c r="V81"/>
    </row>
    <row r="82" spans="1:22" ht="13" x14ac:dyDescent="0.3">
      <c r="A82" s="317">
        <v>42156</v>
      </c>
      <c r="B82" s="320">
        <v>37322701.109999999</v>
      </c>
      <c r="C82" s="321">
        <v>100.6</v>
      </c>
      <c r="D82" s="321">
        <v>1.9</v>
      </c>
      <c r="E82" s="320">
        <v>30</v>
      </c>
      <c r="F82" s="320">
        <v>0</v>
      </c>
      <c r="G82" s="320">
        <v>1</v>
      </c>
      <c r="H82" s="320">
        <f t="shared" si="4"/>
        <v>35182763.13802284</v>
      </c>
      <c r="I82" s="264"/>
      <c r="J82" s="265"/>
      <c r="K82" s="266"/>
      <c r="L82" s="11">
        <f t="shared" si="3"/>
        <v>-2139937.9719771594</v>
      </c>
      <c r="M82" s="132">
        <f t="shared" si="2"/>
        <v>5.7336095950563409E-2</v>
      </c>
      <c r="N82" s="28" t="s">
        <v>23</v>
      </c>
      <c r="O82" s="258">
        <v>0.95405665157924924</v>
      </c>
      <c r="P82"/>
      <c r="Q82"/>
      <c r="R82"/>
      <c r="S82"/>
      <c r="T82"/>
      <c r="U82"/>
      <c r="V82"/>
    </row>
    <row r="83" spans="1:22" ht="13" x14ac:dyDescent="0.3">
      <c r="A83" s="317">
        <v>42186</v>
      </c>
      <c r="B83" s="320">
        <v>41173435.550000004</v>
      </c>
      <c r="C83" s="321">
        <v>37.100000000000009</v>
      </c>
      <c r="D83" s="321">
        <v>54.7</v>
      </c>
      <c r="E83" s="320">
        <v>31</v>
      </c>
      <c r="F83" s="320">
        <v>0</v>
      </c>
      <c r="G83" s="320">
        <v>1</v>
      </c>
      <c r="H83" s="320">
        <f t="shared" si="4"/>
        <v>40437780.090349503</v>
      </c>
      <c r="I83" s="264"/>
      <c r="J83" s="265"/>
      <c r="K83" s="266"/>
      <c r="L83" s="11">
        <f t="shared" si="3"/>
        <v>-735655.45965050161</v>
      </c>
      <c r="M83" s="132">
        <f t="shared" si="2"/>
        <v>1.7867235265251056E-2</v>
      </c>
      <c r="N83" s="28" t="s">
        <v>24</v>
      </c>
      <c r="O83" s="28">
        <v>1380193.7476317249</v>
      </c>
      <c r="P83"/>
      <c r="Q83"/>
      <c r="R83"/>
      <c r="S83"/>
      <c r="T83"/>
      <c r="U83"/>
      <c r="V83"/>
    </row>
    <row r="84" spans="1:22" ht="13.5" thickBot="1" x14ac:dyDescent="0.35">
      <c r="A84" s="317">
        <v>42217</v>
      </c>
      <c r="B84" s="320">
        <v>40113558.109999999</v>
      </c>
      <c r="C84" s="321">
        <v>29.9</v>
      </c>
      <c r="D84" s="321">
        <v>44.900000000000006</v>
      </c>
      <c r="E84" s="320">
        <v>31</v>
      </c>
      <c r="F84" s="320">
        <v>0</v>
      </c>
      <c r="G84" s="320">
        <v>1</v>
      </c>
      <c r="H84" s="320">
        <f t="shared" si="4"/>
        <v>39205743.157594353</v>
      </c>
      <c r="I84" s="264"/>
      <c r="J84" s="265"/>
      <c r="K84" s="266"/>
      <c r="L84" s="11">
        <f t="shared" si="3"/>
        <v>-907814.95240564644</v>
      </c>
      <c r="M84" s="132">
        <f t="shared" si="2"/>
        <v>2.2631125115259602E-2</v>
      </c>
      <c r="N84" s="29" t="s">
        <v>25</v>
      </c>
      <c r="O84" s="29">
        <v>60</v>
      </c>
      <c r="P84"/>
      <c r="Q84"/>
      <c r="R84"/>
      <c r="S84"/>
      <c r="T84"/>
      <c r="U84"/>
      <c r="V84"/>
    </row>
    <row r="85" spans="1:22" ht="13" x14ac:dyDescent="0.3">
      <c r="A85" s="317">
        <v>42248</v>
      </c>
      <c r="B85" s="320">
        <v>39126212.020000003</v>
      </c>
      <c r="C85" s="321">
        <v>72.45</v>
      </c>
      <c r="D85" s="321">
        <v>43.1</v>
      </c>
      <c r="E85" s="320">
        <v>30</v>
      </c>
      <c r="F85" s="320">
        <v>1</v>
      </c>
      <c r="G85" s="320">
        <v>1</v>
      </c>
      <c r="H85" s="320">
        <f t="shared" si="4"/>
        <v>36997622.908785559</v>
      </c>
      <c r="I85" s="264"/>
      <c r="J85" s="265"/>
      <c r="K85" s="266"/>
      <c r="L85" s="11">
        <f t="shared" si="3"/>
        <v>-2128589.111214444</v>
      </c>
      <c r="M85" s="132">
        <f t="shared" si="2"/>
        <v>5.440314820474778E-2</v>
      </c>
      <c r="N85"/>
      <c r="O85"/>
      <c r="P85"/>
      <c r="Q85"/>
      <c r="R85"/>
      <c r="S85"/>
      <c r="T85"/>
      <c r="U85"/>
      <c r="V85"/>
    </row>
    <row r="86" spans="1:22" ht="13.5" thickBot="1" x14ac:dyDescent="0.35">
      <c r="A86" s="317">
        <v>42278</v>
      </c>
      <c r="B86" s="320">
        <v>40715708.719999999</v>
      </c>
      <c r="C86" s="321">
        <v>380.39999999999992</v>
      </c>
      <c r="D86" s="321">
        <v>0</v>
      </c>
      <c r="E86" s="320">
        <v>31</v>
      </c>
      <c r="F86" s="320">
        <v>1</v>
      </c>
      <c r="G86" s="320">
        <v>1</v>
      </c>
      <c r="H86" s="320">
        <f t="shared" si="4"/>
        <v>39890112.307988286</v>
      </c>
      <c r="I86" s="264"/>
      <c r="J86" s="265"/>
      <c r="K86" s="266"/>
      <c r="L86" s="11">
        <f t="shared" si="3"/>
        <v>-825596.41201171279</v>
      </c>
      <c r="M86" s="132">
        <f t="shared" si="2"/>
        <v>2.0277097905609363E-2</v>
      </c>
      <c r="N86" t="s">
        <v>26</v>
      </c>
      <c r="O86"/>
      <c r="P86"/>
      <c r="Q86"/>
      <c r="R86"/>
      <c r="S86"/>
      <c r="T86"/>
      <c r="U86"/>
      <c r="V86"/>
    </row>
    <row r="87" spans="1:22" ht="13" x14ac:dyDescent="0.3">
      <c r="A87" s="317">
        <v>42309</v>
      </c>
      <c r="B87" s="320">
        <v>42394598.530000001</v>
      </c>
      <c r="C87" s="321">
        <v>435.75</v>
      </c>
      <c r="D87" s="321">
        <v>0</v>
      </c>
      <c r="E87" s="320">
        <v>30</v>
      </c>
      <c r="F87" s="320">
        <v>1</v>
      </c>
      <c r="G87" s="320">
        <v>1</v>
      </c>
      <c r="H87" s="320">
        <f t="shared" si="4"/>
        <v>40243275.629486926</v>
      </c>
      <c r="I87" s="264"/>
      <c r="J87" s="265"/>
      <c r="K87" s="266"/>
      <c r="L87" s="11">
        <f t="shared" si="3"/>
        <v>-2151322.9005130753</v>
      </c>
      <c r="M87" s="132">
        <f t="shared" si="2"/>
        <v>5.0745212246572378E-2</v>
      </c>
      <c r="N87" s="30"/>
      <c r="O87" s="30" t="s">
        <v>29</v>
      </c>
      <c r="P87" s="30" t="s">
        <v>30</v>
      </c>
      <c r="Q87" s="30" t="s">
        <v>31</v>
      </c>
      <c r="R87" s="30" t="s">
        <v>32</v>
      </c>
      <c r="S87" s="30" t="s">
        <v>33</v>
      </c>
      <c r="T87"/>
      <c r="U87"/>
      <c r="V87"/>
    </row>
    <row r="88" spans="1:22" ht="13" x14ac:dyDescent="0.3">
      <c r="A88" s="317">
        <v>42339</v>
      </c>
      <c r="B88" s="320">
        <v>46288309.32</v>
      </c>
      <c r="C88" s="321">
        <v>564.95000000000005</v>
      </c>
      <c r="D88" s="321">
        <v>0</v>
      </c>
      <c r="E88" s="322">
        <v>31</v>
      </c>
      <c r="F88" s="320">
        <v>0</v>
      </c>
      <c r="G88" s="320">
        <v>1</v>
      </c>
      <c r="H88" s="320">
        <f t="shared" si="4"/>
        <v>46021682.805138417</v>
      </c>
      <c r="I88" s="264"/>
      <c r="J88" s="265"/>
      <c r="K88" s="266"/>
      <c r="L88" s="11">
        <f t="shared" si="3"/>
        <v>-266626.51486158371</v>
      </c>
      <c r="M88" s="132">
        <f t="shared" si="2"/>
        <v>5.7601264504681567E-3</v>
      </c>
      <c r="N88" s="28" t="s">
        <v>27</v>
      </c>
      <c r="O88" s="28">
        <v>4</v>
      </c>
      <c r="P88" s="28">
        <v>2341527255784045</v>
      </c>
      <c r="Q88" s="28">
        <v>585381813946011.25</v>
      </c>
      <c r="R88" s="28">
        <v>307.29756198697243</v>
      </c>
      <c r="S88" s="28">
        <v>6.444396557517594E-37</v>
      </c>
      <c r="T88"/>
      <c r="U88"/>
      <c r="V88"/>
    </row>
    <row r="89" spans="1:22" ht="13" x14ac:dyDescent="0.3">
      <c r="A89" s="317">
        <v>42370</v>
      </c>
      <c r="B89" s="320">
        <v>53275789.689999998</v>
      </c>
      <c r="C89" s="321">
        <v>881.89999999999986</v>
      </c>
      <c r="D89" s="321">
        <v>0</v>
      </c>
      <c r="E89" s="322">
        <v>31</v>
      </c>
      <c r="F89" s="320">
        <v>0</v>
      </c>
      <c r="G89" s="320">
        <v>1</v>
      </c>
      <c r="H89" s="320">
        <f t="shared" si="4"/>
        <v>52974411.88334766</v>
      </c>
      <c r="I89" s="264"/>
      <c r="J89" s="265"/>
      <c r="K89" s="266"/>
      <c r="L89" s="11">
        <f t="shared" si="3"/>
        <v>-301377.80665233731</v>
      </c>
      <c r="M89" s="132">
        <f t="shared" si="2"/>
        <v>5.6569373894969537E-3</v>
      </c>
      <c r="N89" s="28" t="s">
        <v>28</v>
      </c>
      <c r="O89" s="28">
        <v>55</v>
      </c>
      <c r="P89" s="28">
        <v>104771412955093.8</v>
      </c>
      <c r="Q89" s="28">
        <v>1904934781001.7053</v>
      </c>
      <c r="R89" s="28"/>
      <c r="S89" s="28"/>
      <c r="T89"/>
      <c r="U89"/>
      <c r="V89"/>
    </row>
    <row r="90" spans="1:22" ht="13.5" thickBot="1" x14ac:dyDescent="0.35">
      <c r="A90" s="317">
        <v>42401</v>
      </c>
      <c r="B90" s="320">
        <v>50185519.68</v>
      </c>
      <c r="C90" s="321">
        <v>856.69999999999993</v>
      </c>
      <c r="D90" s="321">
        <v>0</v>
      </c>
      <c r="E90" s="322">
        <v>29</v>
      </c>
      <c r="F90" s="320">
        <v>0</v>
      </c>
      <c r="G90" s="320">
        <v>1</v>
      </c>
      <c r="H90" s="320">
        <f t="shared" si="4"/>
        <v>50699587.298300646</v>
      </c>
      <c r="I90" s="264"/>
      <c r="J90" s="265"/>
      <c r="K90" s="266"/>
      <c r="L90" s="11">
        <f t="shared" si="3"/>
        <v>514067.61830064654</v>
      </c>
      <c r="M90" s="132">
        <f t="shared" si="2"/>
        <v>1.0243345522344236E-2</v>
      </c>
      <c r="N90" s="29" t="s">
        <v>10</v>
      </c>
      <c r="O90" s="29">
        <v>59</v>
      </c>
      <c r="P90" s="29">
        <v>2446298668739139</v>
      </c>
      <c r="Q90" s="29"/>
      <c r="R90" s="29"/>
      <c r="S90" s="29"/>
      <c r="T90"/>
      <c r="U90"/>
      <c r="V90"/>
    </row>
    <row r="91" spans="1:22" ht="13.5" thickBot="1" x14ac:dyDescent="0.35">
      <c r="A91" s="317">
        <v>42430</v>
      </c>
      <c r="B91" s="320">
        <v>45995357.460000001</v>
      </c>
      <c r="C91" s="321">
        <v>681.3</v>
      </c>
      <c r="D91" s="321">
        <v>0</v>
      </c>
      <c r="E91" s="322">
        <v>31</v>
      </c>
      <c r="F91" s="320">
        <v>1</v>
      </c>
      <c r="G91" s="320">
        <v>1</v>
      </c>
      <c r="H91" s="320">
        <f t="shared" si="4"/>
        <v>46490762.819530055</v>
      </c>
      <c r="I91" s="264"/>
      <c r="J91" s="265"/>
      <c r="K91" s="266"/>
      <c r="L91" s="11">
        <f t="shared" si="3"/>
        <v>495405.35953005403</v>
      </c>
      <c r="M91" s="132">
        <f t="shared" si="2"/>
        <v>1.0770768766410496E-2</v>
      </c>
      <c r="N91"/>
      <c r="O91"/>
      <c r="P91"/>
      <c r="Q91"/>
      <c r="R91"/>
      <c r="S91"/>
      <c r="T91"/>
      <c r="U91"/>
      <c r="V91"/>
    </row>
    <row r="92" spans="1:22" ht="13" x14ac:dyDescent="0.3">
      <c r="A92" s="317">
        <v>42461</v>
      </c>
      <c r="B92" s="320">
        <v>41316026.82</v>
      </c>
      <c r="C92" s="321">
        <v>545.4</v>
      </c>
      <c r="D92" s="321">
        <v>0</v>
      </c>
      <c r="E92" s="320">
        <v>30</v>
      </c>
      <c r="F92" s="320">
        <v>1</v>
      </c>
      <c r="G92" s="320">
        <v>1</v>
      </c>
      <c r="H92" s="320">
        <f t="shared" si="4"/>
        <v>42648597.426065706</v>
      </c>
      <c r="I92" s="264"/>
      <c r="J92" s="265"/>
      <c r="K92" s="266"/>
      <c r="L92" s="11">
        <f t="shared" si="3"/>
        <v>1332570.6060657054</v>
      </c>
      <c r="M92" s="132">
        <f t="shared" si="2"/>
        <v>3.2253116009224855E-2</v>
      </c>
      <c r="N92" s="30"/>
      <c r="O92" s="30" t="s">
        <v>34</v>
      </c>
      <c r="P92" s="30" t="s">
        <v>24</v>
      </c>
      <c r="Q92" s="30" t="s">
        <v>35</v>
      </c>
      <c r="R92" s="30" t="s">
        <v>36</v>
      </c>
      <c r="S92" s="30" t="s">
        <v>37</v>
      </c>
      <c r="T92" s="30" t="s">
        <v>38</v>
      </c>
      <c r="U92" s="30" t="s">
        <v>161</v>
      </c>
      <c r="V92" s="30" t="s">
        <v>162</v>
      </c>
    </row>
    <row r="93" spans="1:22" ht="13" x14ac:dyDescent="0.3">
      <c r="A93" s="317">
        <v>42491</v>
      </c>
      <c r="B93" s="320">
        <v>36199389.279999994</v>
      </c>
      <c r="C93" s="321">
        <v>206.6</v>
      </c>
      <c r="D93" s="321">
        <v>11.7</v>
      </c>
      <c r="E93" s="320">
        <v>31</v>
      </c>
      <c r="F93" s="320">
        <v>1</v>
      </c>
      <c r="G93" s="320">
        <v>1</v>
      </c>
      <c r="H93" s="320">
        <f t="shared" si="4"/>
        <v>37359911.144981325</v>
      </c>
      <c r="I93" s="264"/>
      <c r="J93" s="265"/>
      <c r="K93" s="266"/>
      <c r="L93" s="11">
        <f t="shared" si="3"/>
        <v>1160521.8649813309</v>
      </c>
      <c r="M93" s="132">
        <f t="shared" si="2"/>
        <v>3.2059155915719117E-2</v>
      </c>
      <c r="N93" s="28" t="s">
        <v>124</v>
      </c>
      <c r="O93" s="259">
        <v>6937297.4940139567</v>
      </c>
      <c r="P93" s="28">
        <v>6820540.9259391651</v>
      </c>
      <c r="Q93" s="259">
        <v>1.0171183736513851</v>
      </c>
      <c r="R93" s="28">
        <v>0.31355062074215168</v>
      </c>
      <c r="S93" s="28">
        <v>-6731371.9678245457</v>
      </c>
      <c r="T93" s="28">
        <v>20605966.95585246</v>
      </c>
      <c r="U93" s="28">
        <v>-6731371.9678245457</v>
      </c>
      <c r="V93" s="28">
        <v>20605966.95585246</v>
      </c>
    </row>
    <row r="94" spans="1:22" ht="13" x14ac:dyDescent="0.3">
      <c r="A94" s="317">
        <v>42522</v>
      </c>
      <c r="B94" s="320">
        <v>36570354.549999997</v>
      </c>
      <c r="C94" s="321">
        <v>89.699999999999989</v>
      </c>
      <c r="D94" s="321">
        <v>21.599999999999998</v>
      </c>
      <c r="E94" s="320">
        <v>30</v>
      </c>
      <c r="F94" s="320">
        <v>0</v>
      </c>
      <c r="G94" s="320">
        <v>1</v>
      </c>
      <c r="H94" s="320">
        <f t="shared" si="4"/>
        <v>37102807.267946236</v>
      </c>
      <c r="I94" s="264"/>
      <c r="J94" s="265"/>
      <c r="K94" s="266"/>
      <c r="L94" s="11">
        <f t="shared" si="3"/>
        <v>532452.71794623882</v>
      </c>
      <c r="M94" s="132">
        <f t="shared" si="2"/>
        <v>1.4559681591772778E-2</v>
      </c>
      <c r="N94" s="28" t="s">
        <v>4</v>
      </c>
      <c r="O94" s="259">
        <v>21936.359293924117</v>
      </c>
      <c r="P94" s="28">
        <v>748.39981627408224</v>
      </c>
      <c r="Q94" s="259">
        <v>29.311016407158615</v>
      </c>
      <c r="R94" s="28">
        <v>2.9850631118911255E-35</v>
      </c>
      <c r="S94" s="28">
        <v>20436.532546305487</v>
      </c>
      <c r="T94" s="28">
        <v>23436.186041542747</v>
      </c>
      <c r="U94" s="28">
        <v>20436.532546305487</v>
      </c>
      <c r="V94" s="28">
        <v>23436.186041542747</v>
      </c>
    </row>
    <row r="95" spans="1:22" ht="13" x14ac:dyDescent="0.3">
      <c r="A95" s="317">
        <v>42552</v>
      </c>
      <c r="B95" s="320">
        <v>40114786.689999998</v>
      </c>
      <c r="C95" s="321">
        <v>28.5</v>
      </c>
      <c r="D95" s="321">
        <v>57.499999999999993</v>
      </c>
      <c r="E95" s="320">
        <v>31</v>
      </c>
      <c r="F95" s="320">
        <v>0</v>
      </c>
      <c r="G95" s="320">
        <v>1</v>
      </c>
      <c r="H95" s="320">
        <f t="shared" si="4"/>
        <v>40556011.727804296</v>
      </c>
      <c r="I95" s="264"/>
      <c r="J95" s="265"/>
      <c r="K95" s="266"/>
      <c r="L95" s="11">
        <f t="shared" si="3"/>
        <v>441225.0378042981</v>
      </c>
      <c r="M95" s="132">
        <f t="shared" si="2"/>
        <v>1.0999062296255181E-2</v>
      </c>
      <c r="N95" s="28" t="s">
        <v>5</v>
      </c>
      <c r="O95" s="259">
        <v>109601.54549376482</v>
      </c>
      <c r="P95" s="28">
        <v>12298.27701309162</v>
      </c>
      <c r="Q95" s="259">
        <v>8.9119431426933264</v>
      </c>
      <c r="R95" s="28">
        <v>2.9234292125944223E-12</v>
      </c>
      <c r="S95" s="28">
        <v>84955.247602233751</v>
      </c>
      <c r="T95" s="28">
        <v>134247.84338529588</v>
      </c>
      <c r="U95" s="28">
        <v>84955.247602233751</v>
      </c>
      <c r="V95" s="28">
        <v>134247.84338529588</v>
      </c>
    </row>
    <row r="96" spans="1:22" ht="13" x14ac:dyDescent="0.3">
      <c r="A96" s="317">
        <v>42583</v>
      </c>
      <c r="B96" s="320">
        <v>41396574.859999999</v>
      </c>
      <c r="C96" s="321">
        <v>13.299999999999999</v>
      </c>
      <c r="D96" s="321">
        <v>69.100000000000009</v>
      </c>
      <c r="E96" s="320">
        <v>31</v>
      </c>
      <c r="F96" s="320">
        <v>0</v>
      </c>
      <c r="G96" s="320">
        <v>1</v>
      </c>
      <c r="H96" s="320">
        <f t="shared" si="4"/>
        <v>41493956.994264327</v>
      </c>
      <c r="I96" s="264"/>
      <c r="J96" s="265"/>
      <c r="K96" s="266"/>
      <c r="L96" s="11">
        <f t="shared" si="3"/>
        <v>97382.134264327586</v>
      </c>
      <c r="M96" s="132">
        <f t="shared" si="2"/>
        <v>2.3524200877407466E-3</v>
      </c>
      <c r="N96" s="28" t="s">
        <v>6</v>
      </c>
      <c r="O96" s="259">
        <v>861014.1654200654</v>
      </c>
      <c r="P96" s="28">
        <v>224866.44809693948</v>
      </c>
      <c r="Q96" s="259">
        <v>3.8290023821111983</v>
      </c>
      <c r="R96" s="28">
        <v>3.3178858990512661E-4</v>
      </c>
      <c r="S96" s="28">
        <v>410371.73317463446</v>
      </c>
      <c r="T96" s="28">
        <v>1311656.5976654964</v>
      </c>
      <c r="U96" s="28">
        <v>410371.73317463446</v>
      </c>
      <c r="V96" s="28">
        <v>1311656.5976654964</v>
      </c>
    </row>
    <row r="97" spans="1:22" ht="13.5" thickBot="1" x14ac:dyDescent="0.35">
      <c r="A97" s="317">
        <v>42614</v>
      </c>
      <c r="B97" s="320">
        <v>36257722.280000001</v>
      </c>
      <c r="C97" s="321">
        <v>102.10000000000001</v>
      </c>
      <c r="D97" s="321">
        <v>11.7</v>
      </c>
      <c r="E97" s="320">
        <v>30</v>
      </c>
      <c r="F97" s="320">
        <v>1</v>
      </c>
      <c r="G97" s="320">
        <v>1</v>
      </c>
      <c r="H97" s="320">
        <f t="shared" si="4"/>
        <v>34206547.433346197</v>
      </c>
      <c r="I97" s="264"/>
      <c r="J97" s="265"/>
      <c r="K97" s="266"/>
      <c r="L97" s="11">
        <f t="shared" si="3"/>
        <v>-2051174.8466538042</v>
      </c>
      <c r="M97" s="132">
        <f t="shared" si="2"/>
        <v>5.6572082239850066E-2</v>
      </c>
      <c r="N97" s="29" t="s">
        <v>18</v>
      </c>
      <c r="O97" s="260">
        <v>-2083215.3894564267</v>
      </c>
      <c r="P97" s="29">
        <v>407542.18219589384</v>
      </c>
      <c r="Q97" s="260">
        <v>-5.1116558738331648</v>
      </c>
      <c r="R97" s="29">
        <v>4.1555149131339647E-6</v>
      </c>
      <c r="S97" s="29">
        <v>-2899948.1736563821</v>
      </c>
      <c r="T97" s="29">
        <v>-1266482.6052564713</v>
      </c>
      <c r="U97" s="29">
        <v>-2899948.1736563821</v>
      </c>
      <c r="V97" s="29">
        <v>-1266482.6052564713</v>
      </c>
    </row>
    <row r="98" spans="1:22" ht="13" x14ac:dyDescent="0.3">
      <c r="A98" s="317">
        <v>42644</v>
      </c>
      <c r="B98" s="320">
        <v>38047287.729999997</v>
      </c>
      <c r="C98" s="321">
        <v>311.00000000000006</v>
      </c>
      <c r="D98" s="321">
        <v>1.7000000000000002</v>
      </c>
      <c r="E98" s="320">
        <v>31</v>
      </c>
      <c r="F98" s="320">
        <v>1</v>
      </c>
      <c r="G98" s="320">
        <v>1</v>
      </c>
      <c r="H98" s="320">
        <f t="shared" si="4"/>
        <v>38554051.600329354</v>
      </c>
      <c r="I98" s="264"/>
      <c r="J98" s="265"/>
      <c r="K98" s="266"/>
      <c r="L98" s="11">
        <f t="shared" si="3"/>
        <v>506763.87032935768</v>
      </c>
      <c r="M98" s="132">
        <f t="shared" si="2"/>
        <v>1.3319316581133804E-2</v>
      </c>
      <c r="N98"/>
      <c r="O98"/>
      <c r="P98"/>
      <c r="Q98"/>
      <c r="R98"/>
      <c r="S98"/>
      <c r="T98"/>
      <c r="U98"/>
      <c r="V98"/>
    </row>
    <row r="99" spans="1:22" ht="13" x14ac:dyDescent="0.3">
      <c r="A99" s="317">
        <v>42675</v>
      </c>
      <c r="B99" s="320">
        <v>40688064.800000004</v>
      </c>
      <c r="C99" s="321">
        <v>471.59999999999997</v>
      </c>
      <c r="D99" s="321">
        <v>0</v>
      </c>
      <c r="E99" s="320">
        <v>30</v>
      </c>
      <c r="F99" s="320">
        <v>1</v>
      </c>
      <c r="G99" s="320">
        <v>1</v>
      </c>
      <c r="H99" s="320">
        <f t="shared" si="4"/>
        <v>41029694.110174105</v>
      </c>
      <c r="I99" s="264"/>
      <c r="J99" s="265"/>
      <c r="K99" s="266"/>
      <c r="L99" s="11">
        <f t="shared" si="3"/>
        <v>341629.3101741001</v>
      </c>
      <c r="M99" s="132">
        <f t="shared" si="2"/>
        <v>8.3963027451258894E-3</v>
      </c>
      <c r="N99"/>
      <c r="O99"/>
      <c r="P99"/>
      <c r="Q99"/>
      <c r="R99"/>
      <c r="S99"/>
      <c r="T99"/>
      <c r="U99"/>
      <c r="V99"/>
    </row>
    <row r="100" spans="1:22" ht="13" x14ac:dyDescent="0.3">
      <c r="A100" s="317">
        <v>42705</v>
      </c>
      <c r="B100" s="320">
        <v>48940750.400000006</v>
      </c>
      <c r="C100" s="321">
        <v>783.30000000000018</v>
      </c>
      <c r="D100" s="321">
        <v>0</v>
      </c>
      <c r="E100" s="320">
        <v>31</v>
      </c>
      <c r="F100" s="320">
        <v>0</v>
      </c>
      <c r="G100" s="320">
        <v>1</v>
      </c>
      <c r="H100" s="320">
        <f t="shared" si="4"/>
        <v>50811486.856966749</v>
      </c>
      <c r="I100" s="264"/>
      <c r="J100" s="265"/>
      <c r="K100" s="266"/>
      <c r="L100" s="11">
        <f t="shared" si="3"/>
        <v>1870736.4569667429</v>
      </c>
      <c r="M100" s="132">
        <f t="shared" si="2"/>
        <v>3.8224515187792109E-2</v>
      </c>
      <c r="N100"/>
      <c r="O100"/>
      <c r="P100"/>
      <c r="Q100"/>
      <c r="R100"/>
      <c r="S100"/>
      <c r="T100"/>
      <c r="U100"/>
      <c r="V100"/>
    </row>
    <row r="101" spans="1:22" ht="13" x14ac:dyDescent="0.3">
      <c r="A101" s="317">
        <v>42736</v>
      </c>
      <c r="B101" s="320">
        <v>50172295.439999998</v>
      </c>
      <c r="C101" s="321">
        <v>799.6</v>
      </c>
      <c r="D101" s="321">
        <v>0</v>
      </c>
      <c r="E101" s="320">
        <v>31</v>
      </c>
      <c r="F101" s="320">
        <v>0</v>
      </c>
      <c r="G101" s="320">
        <v>1</v>
      </c>
      <c r="H101" s="320">
        <f t="shared" si="4"/>
        <v>51169049.513457708</v>
      </c>
      <c r="I101" s="264"/>
      <c r="J101" s="265"/>
      <c r="K101" s="266"/>
      <c r="L101" s="11">
        <f t="shared" si="3"/>
        <v>996754.07345771044</v>
      </c>
      <c r="M101" s="132">
        <f t="shared" si="2"/>
        <v>1.986662289848205E-2</v>
      </c>
      <c r="N101" s="130"/>
      <c r="O101" s="130"/>
    </row>
    <row r="102" spans="1:22" ht="13" x14ac:dyDescent="0.3">
      <c r="A102" s="317">
        <v>42767</v>
      </c>
      <c r="B102" s="320">
        <v>44767408.370000005</v>
      </c>
      <c r="C102" s="321">
        <v>729.8</v>
      </c>
      <c r="D102" s="321">
        <v>0</v>
      </c>
      <c r="E102" s="320">
        <v>28</v>
      </c>
      <c r="F102" s="320">
        <v>0</v>
      </c>
      <c r="G102" s="320">
        <v>1</v>
      </c>
      <c r="H102" s="320">
        <f t="shared" si="4"/>
        <v>47054849.13848161</v>
      </c>
      <c r="I102" s="264"/>
      <c r="J102" s="265"/>
      <c r="K102" s="266"/>
      <c r="L102" s="11">
        <f t="shared" si="3"/>
        <v>2287440.7684816048</v>
      </c>
      <c r="M102" s="132">
        <f t="shared" si="2"/>
        <v>5.1096117728684248E-2</v>
      </c>
      <c r="N102" s="130"/>
      <c r="O102" s="130"/>
    </row>
    <row r="103" spans="1:22" ht="13" x14ac:dyDescent="0.3">
      <c r="A103" s="317">
        <v>42795</v>
      </c>
      <c r="B103" s="320">
        <v>48902656.549999997</v>
      </c>
      <c r="C103" s="321">
        <v>798.1</v>
      </c>
      <c r="D103" s="321">
        <v>0</v>
      </c>
      <c r="E103" s="320">
        <v>31</v>
      </c>
      <c r="F103" s="320">
        <v>1</v>
      </c>
      <c r="G103" s="320">
        <v>1</v>
      </c>
      <c r="H103" s="320">
        <f t="shared" si="4"/>
        <v>49052929.585060395</v>
      </c>
      <c r="I103" s="264"/>
      <c r="J103" s="265"/>
      <c r="K103" s="266"/>
      <c r="L103" s="11">
        <f t="shared" si="3"/>
        <v>150273.03506039828</v>
      </c>
      <c r="M103" s="132">
        <f t="shared" si="2"/>
        <v>3.0729012626697126E-3</v>
      </c>
      <c r="N103" s="130"/>
      <c r="O103" s="130"/>
    </row>
    <row r="104" spans="1:22" ht="13" x14ac:dyDescent="0.3">
      <c r="A104" s="317">
        <v>42826</v>
      </c>
      <c r="B104" s="320">
        <v>38767220.770000003</v>
      </c>
      <c r="C104" s="321">
        <v>397.20000000000005</v>
      </c>
      <c r="D104" s="321">
        <v>0</v>
      </c>
      <c r="E104" s="320">
        <v>30</v>
      </c>
      <c r="F104" s="320">
        <v>1</v>
      </c>
      <c r="G104" s="320">
        <v>1</v>
      </c>
      <c r="H104" s="320">
        <f t="shared" si="4"/>
        <v>39397628.978706151</v>
      </c>
      <c r="I104" s="264"/>
      <c r="J104" s="265"/>
      <c r="K104" s="266"/>
      <c r="L104" s="11">
        <f t="shared" si="3"/>
        <v>630408.20870614797</v>
      </c>
      <c r="M104" s="132">
        <f t="shared" si="2"/>
        <v>1.626137226721161E-2</v>
      </c>
      <c r="N104" s="130"/>
      <c r="O104" s="130"/>
    </row>
    <row r="105" spans="1:22" ht="13" x14ac:dyDescent="0.3">
      <c r="A105" s="317">
        <v>42856</v>
      </c>
      <c r="B105" s="320">
        <v>36984603.399999999</v>
      </c>
      <c r="C105" s="321">
        <v>255.70000000000002</v>
      </c>
      <c r="D105" s="321">
        <v>0.7</v>
      </c>
      <c r="E105" s="320">
        <v>31</v>
      </c>
      <c r="F105" s="320">
        <v>1</v>
      </c>
      <c r="G105" s="320">
        <v>1</v>
      </c>
      <c r="H105" s="320">
        <f t="shared" si="4"/>
        <v>37231369.385881588</v>
      </c>
      <c r="I105" s="264"/>
      <c r="J105" s="265"/>
      <c r="K105" s="266"/>
      <c r="L105" s="11">
        <f t="shared" si="3"/>
        <v>246765.98588158935</v>
      </c>
      <c r="M105" s="132">
        <f t="shared" si="2"/>
        <v>6.6721274042805976E-3</v>
      </c>
      <c r="N105" s="130"/>
      <c r="O105" s="130"/>
    </row>
    <row r="106" spans="1:22" ht="13" x14ac:dyDescent="0.3">
      <c r="A106" s="317">
        <v>42887</v>
      </c>
      <c r="B106" s="320">
        <v>35651141.509999998</v>
      </c>
      <c r="C106" s="321">
        <v>86</v>
      </c>
      <c r="D106" s="321">
        <v>13.699999999999996</v>
      </c>
      <c r="E106" s="320">
        <v>30</v>
      </c>
      <c r="F106" s="320">
        <v>0</v>
      </c>
      <c r="G106" s="320">
        <v>1</v>
      </c>
      <c r="H106" s="320">
        <f t="shared" si="4"/>
        <v>36155790.529157974</v>
      </c>
      <c r="I106" s="264"/>
      <c r="J106" s="265"/>
      <c r="K106" s="266"/>
      <c r="L106" s="11">
        <f t="shared" si="3"/>
        <v>504649.01915797591</v>
      </c>
      <c r="M106" s="132">
        <f t="shared" si="2"/>
        <v>1.4155199463008049E-2</v>
      </c>
      <c r="N106" s="130"/>
      <c r="O106" s="130"/>
    </row>
    <row r="107" spans="1:22" ht="13" x14ac:dyDescent="0.3">
      <c r="A107" s="317">
        <v>42917</v>
      </c>
      <c r="B107" s="320">
        <v>38088069.340000004</v>
      </c>
      <c r="C107" s="321">
        <v>29.6</v>
      </c>
      <c r="D107" s="321">
        <v>30.5</v>
      </c>
      <c r="E107" s="320">
        <v>31</v>
      </c>
      <c r="F107" s="320">
        <v>0</v>
      </c>
      <c r="G107" s="320">
        <v>1</v>
      </c>
      <c r="H107" s="320">
        <f t="shared" si="4"/>
        <v>37620899.994695961</v>
      </c>
      <c r="I107" s="264"/>
      <c r="J107" s="265"/>
      <c r="K107" s="266"/>
      <c r="L107" s="11">
        <f t="shared" si="3"/>
        <v>-467169.3453040421</v>
      </c>
      <c r="M107" s="132">
        <f t="shared" si="2"/>
        <v>1.2265503434520949E-2</v>
      </c>
    </row>
    <row r="108" spans="1:22" ht="13" x14ac:dyDescent="0.3">
      <c r="A108" s="317">
        <v>42948</v>
      </c>
      <c r="B108" s="320">
        <v>36767307.260000005</v>
      </c>
      <c r="C108" s="321">
        <v>65.399999999999991</v>
      </c>
      <c r="D108" s="321">
        <v>12.799999999999999</v>
      </c>
      <c r="E108" s="320">
        <v>31</v>
      </c>
      <c r="F108" s="320">
        <v>0</v>
      </c>
      <c r="G108" s="320">
        <v>1</v>
      </c>
      <c r="H108" s="320">
        <f t="shared" si="4"/>
        <v>36466274.302178808</v>
      </c>
      <c r="I108" s="264"/>
      <c r="J108" s="265"/>
      <c r="K108" s="266"/>
      <c r="L108" s="11">
        <f t="shared" si="3"/>
        <v>-301032.95782119781</v>
      </c>
      <c r="M108" s="132">
        <f t="shared" si="2"/>
        <v>8.1875171247228779E-3</v>
      </c>
    </row>
    <row r="109" spans="1:22" ht="13" x14ac:dyDescent="0.3">
      <c r="A109" s="317">
        <v>42979</v>
      </c>
      <c r="B109" s="320">
        <v>36665579.789999999</v>
      </c>
      <c r="C109" s="321">
        <v>120.60000000000001</v>
      </c>
      <c r="D109" s="321">
        <v>30.400000000000002</v>
      </c>
      <c r="E109" s="320">
        <v>30</v>
      </c>
      <c r="F109" s="320">
        <v>1</v>
      </c>
      <c r="G109" s="320">
        <v>1</v>
      </c>
      <c r="H109" s="320">
        <f t="shared" si="4"/>
        <v>36661918.981017195</v>
      </c>
      <c r="I109" s="264"/>
      <c r="J109" s="265"/>
      <c r="K109" s="266"/>
      <c r="L109" s="11">
        <f t="shared" si="3"/>
        <v>-3660.8089828044176</v>
      </c>
      <c r="M109" s="132">
        <f t="shared" si="2"/>
        <v>9.9843204546920864E-5</v>
      </c>
    </row>
    <row r="110" spans="1:22" ht="13" x14ac:dyDescent="0.3">
      <c r="A110" s="317">
        <v>43009</v>
      </c>
      <c r="B110" s="320">
        <v>37361044.370000005</v>
      </c>
      <c r="C110" s="321">
        <v>252.39999999999998</v>
      </c>
      <c r="D110" s="321">
        <v>0</v>
      </c>
      <c r="E110" s="320">
        <v>31</v>
      </c>
      <c r="F110" s="320">
        <v>1</v>
      </c>
      <c r="G110" s="320">
        <v>1</v>
      </c>
      <c r="H110" s="320">
        <f t="shared" si="4"/>
        <v>37082258.318366006</v>
      </c>
      <c r="I110" s="264"/>
      <c r="J110" s="265"/>
      <c r="K110" s="266"/>
      <c r="L110" s="11">
        <f t="shared" si="3"/>
        <v>-278786.05163399875</v>
      </c>
      <c r="M110" s="132">
        <f t="shared" si="2"/>
        <v>7.4619448234122992E-3</v>
      </c>
    </row>
    <row r="111" spans="1:22" ht="13" x14ac:dyDescent="0.3">
      <c r="A111" s="317">
        <v>43040</v>
      </c>
      <c r="B111" s="320">
        <v>43727236.93</v>
      </c>
      <c r="C111" s="321">
        <v>620.75000000000011</v>
      </c>
      <c r="D111" s="321">
        <v>0</v>
      </c>
      <c r="E111" s="320">
        <v>30</v>
      </c>
      <c r="F111" s="320">
        <v>1</v>
      </c>
      <c r="G111" s="320">
        <v>1</v>
      </c>
      <c r="H111" s="320">
        <f t="shared" si="4"/>
        <v>44301502.098862886</v>
      </c>
      <c r="I111" s="264"/>
      <c r="J111" s="265"/>
      <c r="K111" s="266"/>
      <c r="L111" s="11">
        <f t="shared" si="3"/>
        <v>574265.16886288673</v>
      </c>
      <c r="M111" s="132">
        <f t="shared" si="2"/>
        <v>1.3132894030834587E-2</v>
      </c>
    </row>
    <row r="112" spans="1:22" ht="13" x14ac:dyDescent="0.3">
      <c r="A112" s="317">
        <v>43070</v>
      </c>
      <c r="B112" s="320">
        <v>52843775.450000003</v>
      </c>
      <c r="C112" s="321">
        <v>970.90000000000009</v>
      </c>
      <c r="D112" s="321">
        <v>0</v>
      </c>
      <c r="E112" s="320">
        <v>31</v>
      </c>
      <c r="F112" s="320">
        <v>0</v>
      </c>
      <c r="G112" s="320">
        <v>1</v>
      </c>
      <c r="H112" s="320">
        <f t="shared" si="4"/>
        <v>54926747.860506915</v>
      </c>
      <c r="I112" s="264"/>
      <c r="J112" s="265"/>
      <c r="K112" s="266"/>
      <c r="L112" s="11">
        <f t="shared" si="3"/>
        <v>2082972.4105069116</v>
      </c>
      <c r="M112" s="132">
        <f t="shared" si="2"/>
        <v>3.9417554721800474E-2</v>
      </c>
    </row>
    <row r="113" spans="1:13" ht="13" x14ac:dyDescent="0.3">
      <c r="A113" s="317">
        <v>43101</v>
      </c>
      <c r="B113" s="320">
        <v>55165428.389999993</v>
      </c>
      <c r="C113" s="321">
        <v>921.49999999999989</v>
      </c>
      <c r="D113" s="321">
        <v>0</v>
      </c>
      <c r="E113" s="320">
        <v>31</v>
      </c>
      <c r="F113" s="320">
        <v>0</v>
      </c>
      <c r="G113" s="320">
        <v>1</v>
      </c>
      <c r="H113" s="320">
        <f t="shared" si="4"/>
        <v>53843091.711387061</v>
      </c>
      <c r="I113" s="264"/>
      <c r="J113" s="265"/>
      <c r="K113" s="266"/>
      <c r="L113" s="11">
        <f t="shared" si="3"/>
        <v>-1322336.6786129326</v>
      </c>
      <c r="M113" s="132">
        <f t="shared" si="2"/>
        <v>2.3970387200920144E-2</v>
      </c>
    </row>
    <row r="114" spans="1:13" ht="13" x14ac:dyDescent="0.3">
      <c r="A114" s="317">
        <v>43132</v>
      </c>
      <c r="B114" s="320">
        <v>46543672.770000003</v>
      </c>
      <c r="C114" s="321">
        <v>756.09999999999991</v>
      </c>
      <c r="D114" s="321">
        <v>0</v>
      </c>
      <c r="E114" s="320">
        <v>28</v>
      </c>
      <c r="F114" s="320">
        <v>0</v>
      </c>
      <c r="G114" s="320">
        <v>1</v>
      </c>
      <c r="H114" s="320">
        <f t="shared" si="4"/>
        <v>47631775.387911811</v>
      </c>
      <c r="I114" s="264"/>
      <c r="J114" s="265"/>
      <c r="K114" s="266"/>
      <c r="L114" s="11">
        <f t="shared" si="3"/>
        <v>1088102.6179118082</v>
      </c>
      <c r="M114" s="132">
        <f t="shared" si="2"/>
        <v>2.3378099603114069E-2</v>
      </c>
    </row>
    <row r="115" spans="1:13" ht="13" x14ac:dyDescent="0.3">
      <c r="A115" s="317">
        <v>43160</v>
      </c>
      <c r="B115" s="320">
        <v>46187500.800000004</v>
      </c>
      <c r="C115" s="321">
        <v>716.80000000000007</v>
      </c>
      <c r="D115" s="321">
        <v>0</v>
      </c>
      <c r="E115" s="320">
        <v>31</v>
      </c>
      <c r="F115" s="320">
        <v>1</v>
      </c>
      <c r="G115" s="320">
        <v>1</v>
      </c>
      <c r="H115" s="320">
        <f t="shared" si="4"/>
        <v>47269503.574464366</v>
      </c>
      <c r="I115" s="264"/>
      <c r="J115" s="265"/>
      <c r="K115" s="266"/>
      <c r="L115" s="11">
        <f t="shared" si="3"/>
        <v>1082002.7744643614</v>
      </c>
      <c r="M115" s="132">
        <f t="shared" si="2"/>
        <v>2.3426311355308517E-2</v>
      </c>
    </row>
    <row r="116" spans="1:13" ht="13" x14ac:dyDescent="0.3">
      <c r="A116" s="317">
        <v>43191</v>
      </c>
      <c r="B116" s="320">
        <v>42016294.270000003</v>
      </c>
      <c r="C116" s="321">
        <v>583.90000000000009</v>
      </c>
      <c r="D116" s="321">
        <v>0</v>
      </c>
      <c r="E116" s="320">
        <v>30</v>
      </c>
      <c r="F116" s="320">
        <v>1</v>
      </c>
      <c r="G116" s="320">
        <v>1</v>
      </c>
      <c r="H116" s="320">
        <f t="shared" si="4"/>
        <v>43493147.258881785</v>
      </c>
      <c r="I116" s="264"/>
      <c r="J116" s="265"/>
      <c r="K116" s="266"/>
      <c r="L116" s="11">
        <f t="shared" si="3"/>
        <v>1476852.9888817817</v>
      </c>
      <c r="M116" s="132">
        <f t="shared" si="2"/>
        <v>3.5149529832198156E-2</v>
      </c>
    </row>
    <row r="117" spans="1:13" ht="13" x14ac:dyDescent="0.3">
      <c r="A117" s="317">
        <v>43221</v>
      </c>
      <c r="B117" s="320">
        <v>36563258.369999997</v>
      </c>
      <c r="C117" s="321">
        <v>196.00000000000009</v>
      </c>
      <c r="D117" s="321">
        <v>15.399999999999999</v>
      </c>
      <c r="E117" s="320">
        <v>31</v>
      </c>
      <c r="F117" s="320">
        <v>1</v>
      </c>
      <c r="G117" s="320">
        <v>1</v>
      </c>
      <c r="H117" s="320">
        <f t="shared" si="4"/>
        <v>37532911.454792663</v>
      </c>
      <c r="I117" s="264"/>
      <c r="J117" s="265"/>
      <c r="K117" s="266"/>
      <c r="L117" s="11">
        <f t="shared" si="3"/>
        <v>969653.08479266614</v>
      </c>
      <c r="M117" s="132">
        <f t="shared" si="2"/>
        <v>2.6519876182267785E-2</v>
      </c>
    </row>
    <row r="118" spans="1:13" ht="13" x14ac:dyDescent="0.3">
      <c r="A118" s="317">
        <v>43252</v>
      </c>
      <c r="B118" s="320">
        <v>35697073.240000002</v>
      </c>
      <c r="C118" s="321">
        <v>77.800000000000011</v>
      </c>
      <c r="D118" s="321">
        <v>16.900000000000002</v>
      </c>
      <c r="E118" s="320">
        <v>30</v>
      </c>
      <c r="F118" s="320">
        <v>0</v>
      </c>
      <c r="G118" s="320">
        <v>1</v>
      </c>
      <c r="H118" s="320">
        <f t="shared" si="4"/>
        <v>36326637.328527838</v>
      </c>
      <c r="I118" s="264"/>
      <c r="J118" s="265"/>
      <c r="K118" s="266"/>
      <c r="L118" s="11">
        <f t="shared" si="3"/>
        <v>629564.08852783591</v>
      </c>
      <c r="M118" s="132">
        <f t="shared" si="2"/>
        <v>1.7636294278108606E-2</v>
      </c>
    </row>
    <row r="119" spans="1:13" ht="13" x14ac:dyDescent="0.3">
      <c r="A119" s="317">
        <v>43282</v>
      </c>
      <c r="B119" s="320">
        <v>42293825.449999996</v>
      </c>
      <c r="C119" s="321">
        <v>7.8</v>
      </c>
      <c r="D119" s="323">
        <v>94.799999999999983</v>
      </c>
      <c r="E119" s="320">
        <v>31</v>
      </c>
      <c r="F119" s="320">
        <v>0</v>
      </c>
      <c r="G119" s="320">
        <v>1</v>
      </c>
      <c r="H119" s="320">
        <f t="shared" si="4"/>
        <v>44190066.737337492</v>
      </c>
      <c r="I119" s="264"/>
      <c r="J119" s="265"/>
      <c r="K119" s="266"/>
      <c r="L119" s="11">
        <f t="shared" si="3"/>
        <v>1896241.2873374969</v>
      </c>
      <c r="M119" s="132">
        <f t="shared" si="2"/>
        <v>4.483494380472261E-2</v>
      </c>
    </row>
    <row r="120" spans="1:13" ht="13" x14ac:dyDescent="0.3">
      <c r="A120" s="317">
        <v>43313</v>
      </c>
      <c r="B120" s="320">
        <v>40093008.969999999</v>
      </c>
      <c r="C120" s="321">
        <v>16</v>
      </c>
      <c r="D120" s="321">
        <v>55.300000000000026</v>
      </c>
      <c r="E120" s="320">
        <v>31</v>
      </c>
      <c r="F120" s="320">
        <v>0</v>
      </c>
      <c r="G120" s="320">
        <v>1</v>
      </c>
      <c r="H120" s="320">
        <f t="shared" si="4"/>
        <v>40040683.836543962</v>
      </c>
      <c r="I120" s="264"/>
      <c r="J120" s="265"/>
      <c r="K120" s="266"/>
      <c r="L120" s="11">
        <f t="shared" si="3"/>
        <v>-52325.133456036448</v>
      </c>
      <c r="M120" s="132">
        <f t="shared" si="2"/>
        <v>1.305093700879105E-3</v>
      </c>
    </row>
    <row r="121" spans="1:13" ht="13" x14ac:dyDescent="0.3">
      <c r="A121" s="317">
        <v>43344</v>
      </c>
      <c r="B121" s="320">
        <v>35816190.109999999</v>
      </c>
      <c r="C121" s="321">
        <v>149.54999999999998</v>
      </c>
      <c r="D121" s="321">
        <v>24.4</v>
      </c>
      <c r="E121" s="320">
        <v>30</v>
      </c>
      <c r="F121" s="320">
        <v>1</v>
      </c>
      <c r="G121" s="320">
        <v>1</v>
      </c>
      <c r="H121" s="320">
        <f t="shared" si="4"/>
        <v>36639367.309613705</v>
      </c>
      <c r="I121" s="264"/>
      <c r="J121" s="265"/>
      <c r="K121" s="266"/>
      <c r="L121" s="11">
        <f t="shared" si="3"/>
        <v>823177.19961370528</v>
      </c>
      <c r="M121" s="132">
        <f t="shared" si="2"/>
        <v>2.2983382573231077E-2</v>
      </c>
    </row>
    <row r="122" spans="1:13" ht="13" x14ac:dyDescent="0.3">
      <c r="A122" s="317">
        <v>43374</v>
      </c>
      <c r="B122" s="320">
        <v>39622117.82</v>
      </c>
      <c r="C122" s="321">
        <v>432</v>
      </c>
      <c r="D122" s="321">
        <v>0</v>
      </c>
      <c r="E122" s="320">
        <v>31</v>
      </c>
      <c r="F122" s="320">
        <v>1</v>
      </c>
      <c r="G122" s="320">
        <v>1</v>
      </c>
      <c r="H122" s="320">
        <f t="shared" si="4"/>
        <v>41022028.447554775</v>
      </c>
      <c r="I122" s="264"/>
      <c r="J122" s="265"/>
      <c r="K122" s="266"/>
      <c r="L122" s="11">
        <f t="shared" si="3"/>
        <v>1399910.6275547743</v>
      </c>
      <c r="M122" s="132">
        <f t="shared" si="2"/>
        <v>3.5331544717383666E-2</v>
      </c>
    </row>
    <row r="123" spans="1:13" ht="13" x14ac:dyDescent="0.3">
      <c r="A123" s="317">
        <v>43405</v>
      </c>
      <c r="B123" s="320">
        <v>44982862.210000001</v>
      </c>
      <c r="C123" s="321">
        <v>671.6</v>
      </c>
      <c r="D123" s="321">
        <v>0</v>
      </c>
      <c r="E123" s="320">
        <v>30</v>
      </c>
      <c r="F123" s="320">
        <v>1</v>
      </c>
      <c r="G123" s="320">
        <v>1</v>
      </c>
      <c r="H123" s="320">
        <f t="shared" si="4"/>
        <v>45416965.968958929</v>
      </c>
      <c r="I123" s="264"/>
      <c r="J123" s="265"/>
      <c r="K123" s="266"/>
      <c r="L123" s="11">
        <f t="shared" si="3"/>
        <v>434103.75895892829</v>
      </c>
      <c r="M123" s="132">
        <f t="shared" si="2"/>
        <v>9.6504254649768372E-3</v>
      </c>
    </row>
    <row r="124" spans="1:13" ht="13" x14ac:dyDescent="0.3">
      <c r="A124" s="317">
        <v>43435</v>
      </c>
      <c r="B124" s="320">
        <v>49908333.010000005</v>
      </c>
      <c r="C124" s="321">
        <v>796.5500000000003</v>
      </c>
      <c r="D124" s="321">
        <v>0</v>
      </c>
      <c r="E124" s="320">
        <v>31</v>
      </c>
      <c r="F124" s="320">
        <v>0</v>
      </c>
      <c r="G124" s="320">
        <v>1</v>
      </c>
      <c r="H124" s="320">
        <f t="shared" si="4"/>
        <v>51102143.617611244</v>
      </c>
      <c r="I124" s="264"/>
      <c r="J124" s="265"/>
      <c r="K124" s="266"/>
      <c r="L124" s="11">
        <f t="shared" si="3"/>
        <v>1193810.607611239</v>
      </c>
      <c r="M124" s="132">
        <f t="shared" si="2"/>
        <v>2.3920065760802675E-2</v>
      </c>
    </row>
    <row r="125" spans="1:13" ht="13" x14ac:dyDescent="0.3">
      <c r="A125" s="317">
        <v>43466</v>
      </c>
      <c r="B125" s="320">
        <v>56704515.530000001</v>
      </c>
      <c r="C125" s="321">
        <v>1042.2</v>
      </c>
      <c r="D125" s="321">
        <v>0</v>
      </c>
      <c r="E125" s="320">
        <v>31</v>
      </c>
      <c r="F125" s="320">
        <v>0</v>
      </c>
      <c r="G125" s="320">
        <v>1</v>
      </c>
      <c r="H125" s="320">
        <f t="shared" si="4"/>
        <v>56490810.278163701</v>
      </c>
      <c r="I125" s="264"/>
      <c r="J125" s="265"/>
      <c r="K125" s="266"/>
      <c r="L125" s="11">
        <f t="shared" si="3"/>
        <v>-213705.2518362999</v>
      </c>
      <c r="M125" s="132">
        <f t="shared" si="2"/>
        <v>3.7687519210571042E-3</v>
      </c>
    </row>
    <row r="126" spans="1:13" ht="13" x14ac:dyDescent="0.3">
      <c r="A126" s="317">
        <v>43497</v>
      </c>
      <c r="B126" s="320">
        <v>49050451.480000004</v>
      </c>
      <c r="C126" s="321">
        <v>811.39999999999986</v>
      </c>
      <c r="D126" s="321">
        <v>0</v>
      </c>
      <c r="E126" s="320">
        <v>28</v>
      </c>
      <c r="F126" s="320">
        <v>0</v>
      </c>
      <c r="G126" s="320">
        <v>1</v>
      </c>
      <c r="H126" s="320">
        <f t="shared" si="4"/>
        <v>48844856.056865819</v>
      </c>
      <c r="I126" s="264"/>
      <c r="J126" s="265"/>
      <c r="K126" s="266"/>
      <c r="L126" s="11">
        <f t="shared" si="3"/>
        <v>-205595.42313418537</v>
      </c>
      <c r="M126" s="132">
        <f t="shared" si="2"/>
        <v>4.1915092915712623E-3</v>
      </c>
    </row>
    <row r="127" spans="1:13" ht="13" x14ac:dyDescent="0.3">
      <c r="A127" s="317">
        <v>43525</v>
      </c>
      <c r="B127" s="320">
        <v>48618580.050000004</v>
      </c>
      <c r="C127" s="321">
        <v>770.3</v>
      </c>
      <c r="D127" s="321">
        <v>0</v>
      </c>
      <c r="E127" s="320">
        <v>31</v>
      </c>
      <c r="F127" s="320">
        <v>1</v>
      </c>
      <c r="G127" s="320">
        <v>1</v>
      </c>
      <c r="H127" s="320">
        <f t="shared" si="4"/>
        <v>48443098.796689302</v>
      </c>
      <c r="I127" s="264"/>
      <c r="J127" s="265"/>
      <c r="K127" s="266"/>
      <c r="L127" s="11">
        <f t="shared" si="3"/>
        <v>-175481.25331070274</v>
      </c>
      <c r="M127" s="132">
        <f t="shared" si="2"/>
        <v>3.6093455039253606E-3</v>
      </c>
    </row>
    <row r="128" spans="1:13" ht="13" x14ac:dyDescent="0.3">
      <c r="A128" s="317">
        <v>43556</v>
      </c>
      <c r="B128" s="320">
        <v>40799605.960000001</v>
      </c>
      <c r="C128" s="321">
        <v>483.50000000000006</v>
      </c>
      <c r="D128" s="321">
        <v>0</v>
      </c>
      <c r="E128" s="320">
        <v>30</v>
      </c>
      <c r="F128" s="320">
        <v>1</v>
      </c>
      <c r="G128" s="320">
        <v>1</v>
      </c>
      <c r="H128" s="320">
        <f t="shared" si="4"/>
        <v>41290736.785771802</v>
      </c>
      <c r="I128" s="264"/>
      <c r="J128" s="265"/>
      <c r="K128" s="266"/>
      <c r="L128" s="11">
        <f t="shared" si="3"/>
        <v>491130.82577180117</v>
      </c>
      <c r="M128" s="132">
        <f t="shared" si="2"/>
        <v>1.2037636497109963E-2</v>
      </c>
    </row>
    <row r="129" spans="1:34" ht="13" x14ac:dyDescent="0.3">
      <c r="A129" s="317">
        <v>43586</v>
      </c>
      <c r="B129" s="320">
        <v>36697206.219999999</v>
      </c>
      <c r="C129" s="321">
        <v>288.40000000000003</v>
      </c>
      <c r="D129" s="321">
        <v>0</v>
      </c>
      <c r="E129" s="320">
        <v>31</v>
      </c>
      <c r="F129" s="320">
        <v>1</v>
      </c>
      <c r="G129" s="320">
        <v>1</v>
      </c>
      <c r="H129" s="320">
        <f t="shared" si="4"/>
        <v>37871967.252947271</v>
      </c>
      <c r="I129" s="264"/>
      <c r="J129" s="265"/>
      <c r="K129" s="266"/>
      <c r="L129" s="11">
        <f t="shared" ref="L129:L136" si="5">H129-B129</f>
        <v>1174761.0329472721</v>
      </c>
      <c r="M129" s="132">
        <f t="shared" ref="M129:M136" si="6">ABS(L129/B129)</f>
        <v>3.2012274337849367E-2</v>
      </c>
    </row>
    <row r="130" spans="1:34" ht="13" x14ac:dyDescent="0.3">
      <c r="A130" s="317">
        <v>43617</v>
      </c>
      <c r="B130" s="320">
        <v>35140288.480000004</v>
      </c>
      <c r="C130" s="321">
        <v>92.199999999999989</v>
      </c>
      <c r="D130" s="321">
        <v>7.0000000000000009</v>
      </c>
      <c r="E130" s="320">
        <v>30</v>
      </c>
      <c r="F130" s="320">
        <v>0</v>
      </c>
      <c r="G130" s="320">
        <v>1</v>
      </c>
      <c r="H130" s="320">
        <f t="shared" si="4"/>
        <v>35557465.601972073</v>
      </c>
      <c r="I130" s="264"/>
      <c r="J130" s="265"/>
      <c r="K130" s="266"/>
      <c r="L130" s="11">
        <f t="shared" si="5"/>
        <v>417177.12197206914</v>
      </c>
      <c r="M130" s="132">
        <f t="shared" si="6"/>
        <v>1.1871761445826044E-2</v>
      </c>
    </row>
    <row r="131" spans="1:34" ht="13" x14ac:dyDescent="0.3">
      <c r="A131" s="317">
        <v>43647</v>
      </c>
      <c r="B131" s="320">
        <v>42388534.140000001</v>
      </c>
      <c r="C131" s="321">
        <v>7</v>
      </c>
      <c r="D131" s="321">
        <v>73.600000000000009</v>
      </c>
      <c r="E131" s="320">
        <v>31</v>
      </c>
      <c r="F131" s="320">
        <v>0</v>
      </c>
      <c r="G131" s="320">
        <v>1</v>
      </c>
      <c r="H131" s="320">
        <f t="shared" si="4"/>
        <v>41848964.885434546</v>
      </c>
      <c r="I131" s="264"/>
      <c r="J131" s="265"/>
      <c r="K131" s="266"/>
      <c r="L131" s="11">
        <f t="shared" si="5"/>
        <v>-539569.25456545502</v>
      </c>
      <c r="M131" s="132">
        <f t="shared" si="6"/>
        <v>1.2729132193705413E-2</v>
      </c>
    </row>
    <row r="132" spans="1:34" ht="13" x14ac:dyDescent="0.3">
      <c r="A132" s="317">
        <v>43678</v>
      </c>
      <c r="B132" s="320">
        <v>37599279.030000001</v>
      </c>
      <c r="C132" s="321">
        <v>42.699999999999996</v>
      </c>
      <c r="D132" s="321">
        <v>18.299999999999997</v>
      </c>
      <c r="E132" s="320">
        <v>31</v>
      </c>
      <c r="F132" s="320">
        <v>0</v>
      </c>
      <c r="G132" s="320">
        <v>1</v>
      </c>
      <c r="H132" s="320">
        <f t="shared" si="4"/>
        <v>36571127.446422435</v>
      </c>
      <c r="I132" s="264"/>
      <c r="J132" s="265"/>
      <c r="K132" s="266"/>
      <c r="L132" s="11">
        <f t="shared" si="5"/>
        <v>-1028151.5835775658</v>
      </c>
      <c r="M132" s="132">
        <f t="shared" si="6"/>
        <v>2.734498134278629E-2</v>
      </c>
    </row>
    <row r="133" spans="1:34" ht="13" x14ac:dyDescent="0.3">
      <c r="A133" s="317">
        <v>43709</v>
      </c>
      <c r="B133" s="320">
        <v>33915684.770000003</v>
      </c>
      <c r="C133" s="321">
        <v>154.89999999999998</v>
      </c>
      <c r="D133" s="321">
        <v>1.9</v>
      </c>
      <c r="E133" s="320">
        <v>30</v>
      </c>
      <c r="F133" s="320">
        <v>1</v>
      </c>
      <c r="G133" s="320">
        <v>1</v>
      </c>
      <c r="H133" s="320">
        <f t="shared" si="4"/>
        <v>34290692.058226496</v>
      </c>
      <c r="I133" s="264"/>
      <c r="J133" s="265"/>
      <c r="K133" s="266"/>
      <c r="L133" s="11">
        <f t="shared" si="5"/>
        <v>375007.2882264927</v>
      </c>
      <c r="M133" s="132">
        <f t="shared" si="6"/>
        <v>1.1057046047267313E-2</v>
      </c>
    </row>
    <row r="134" spans="1:34" ht="13" x14ac:dyDescent="0.3">
      <c r="A134" s="317">
        <v>43739</v>
      </c>
      <c r="B134" s="320">
        <v>37837875.810000002</v>
      </c>
      <c r="C134" s="321">
        <v>348.25000000000006</v>
      </c>
      <c r="D134" s="321">
        <v>0</v>
      </c>
      <c r="E134" s="320">
        <v>31</v>
      </c>
      <c r="F134" s="320">
        <v>1</v>
      </c>
      <c r="G134" s="320">
        <v>1</v>
      </c>
      <c r="H134" s="320">
        <f t="shared" si="4"/>
        <v>39184858.356688634</v>
      </c>
      <c r="I134" s="264"/>
      <c r="J134" s="265"/>
      <c r="K134" s="266"/>
      <c r="L134" s="11">
        <f t="shared" si="5"/>
        <v>1346982.5466886312</v>
      </c>
      <c r="M134" s="132">
        <f t="shared" si="6"/>
        <v>3.559878872303511E-2</v>
      </c>
    </row>
    <row r="135" spans="1:34" ht="13" x14ac:dyDescent="0.3">
      <c r="A135" s="317">
        <v>43770</v>
      </c>
      <c r="B135" s="320">
        <v>45382224.899999999</v>
      </c>
      <c r="C135" s="321">
        <v>677.9000000000002</v>
      </c>
      <c r="D135" s="321">
        <v>0</v>
      </c>
      <c r="E135" s="320">
        <v>30</v>
      </c>
      <c r="F135" s="320">
        <v>1</v>
      </c>
      <c r="G135" s="320">
        <v>1</v>
      </c>
      <c r="H135" s="320">
        <f t="shared" si="4"/>
        <v>45555165.032510653</v>
      </c>
      <c r="I135" s="264"/>
      <c r="J135" s="265"/>
      <c r="K135" s="266"/>
      <c r="L135" s="11">
        <f t="shared" si="5"/>
        <v>172940.13251065463</v>
      </c>
      <c r="M135" s="132">
        <f t="shared" si="6"/>
        <v>3.8107460110589383E-3</v>
      </c>
    </row>
    <row r="136" spans="1:34" ht="13" x14ac:dyDescent="0.3">
      <c r="A136" s="317">
        <v>43800</v>
      </c>
      <c r="B136" s="320">
        <v>50013577.5</v>
      </c>
      <c r="C136" s="321">
        <v>775.29999999999984</v>
      </c>
      <c r="D136" s="321">
        <v>0</v>
      </c>
      <c r="E136" s="320">
        <v>31</v>
      </c>
      <c r="F136" s="320">
        <v>0</v>
      </c>
      <c r="G136" s="320">
        <v>1</v>
      </c>
      <c r="H136" s="320">
        <f t="shared" si="4"/>
        <v>50635995.982615344</v>
      </c>
      <c r="I136" s="264"/>
      <c r="J136" s="265"/>
      <c r="K136" s="266"/>
      <c r="L136" s="11">
        <f t="shared" si="5"/>
        <v>622418.48261534423</v>
      </c>
      <c r="M136" s="132">
        <f t="shared" si="6"/>
        <v>1.2444990215213943E-2</v>
      </c>
    </row>
    <row r="137" spans="1:34" ht="13" x14ac:dyDescent="0.3">
      <c r="A137" s="275"/>
      <c r="B137" s="262"/>
      <c r="C137" s="263"/>
      <c r="D137" s="263"/>
      <c r="E137" s="236"/>
      <c r="F137" s="236"/>
      <c r="G137" s="236"/>
      <c r="H137" s="236"/>
      <c r="I137" s="264"/>
      <c r="J137" s="265"/>
      <c r="K137" s="266"/>
      <c r="L137" s="11">
        <f>+SUM(L77:L136)</f>
        <v>-5.2154064178466797E-7</v>
      </c>
      <c r="M137" s="273">
        <f>AVERAGE(M77:M136)</f>
        <v>2.3256632764664737E-2</v>
      </c>
      <c r="N137" s="210" t="s">
        <v>165</v>
      </c>
    </row>
    <row r="138" spans="1:34" customFormat="1" ht="37.5" x14ac:dyDescent="0.25">
      <c r="A138" s="324"/>
      <c r="B138" s="325" t="s">
        <v>0</v>
      </c>
      <c r="C138" s="326" t="s">
        <v>4</v>
      </c>
      <c r="D138" s="326" t="s">
        <v>5</v>
      </c>
      <c r="E138" s="326" t="s">
        <v>6</v>
      </c>
      <c r="F138" s="326" t="s">
        <v>18</v>
      </c>
      <c r="G138" s="326" t="s">
        <v>133</v>
      </c>
      <c r="H138" s="326" t="s">
        <v>11</v>
      </c>
      <c r="I138" s="270"/>
      <c r="J138" s="271"/>
      <c r="K138" s="272"/>
      <c r="L138" s="271"/>
      <c r="M138" s="273"/>
      <c r="N138" s="25"/>
      <c r="O138" s="25"/>
      <c r="P138" s="25"/>
      <c r="Q138" s="25"/>
      <c r="R138" s="25"/>
      <c r="S138" s="25"/>
      <c r="T138" s="25"/>
      <c r="U138" s="25"/>
      <c r="V138" s="25"/>
      <c r="Z138" s="6"/>
      <c r="AA138" s="6"/>
      <c r="AB138" s="6"/>
      <c r="AC138" s="6"/>
      <c r="AD138" s="6"/>
      <c r="AE138" s="6"/>
      <c r="AF138" s="6"/>
      <c r="AG138" s="6"/>
      <c r="AH138" s="6"/>
    </row>
    <row r="139" spans="1:34" x14ac:dyDescent="0.25">
      <c r="A139" s="327">
        <v>43831</v>
      </c>
      <c r="B139" s="320"/>
      <c r="C139" s="323">
        <f t="shared" ref="C139:D150" si="7">(C125+C113+C101+C89+C77+C63+C51+C39+C27+C15)/10</f>
        <v>935.45499999999993</v>
      </c>
      <c r="D139" s="323">
        <f t="shared" si="7"/>
        <v>0</v>
      </c>
      <c r="E139" s="320">
        <v>31</v>
      </c>
      <c r="F139" s="320">
        <v>0</v>
      </c>
      <c r="G139" s="320">
        <v>1</v>
      </c>
      <c r="H139" s="320">
        <f t="shared" ref="H139:H162" si="8">+C139*$O$94+D139*$O$95+E139*$O$96+F139*$O$97+$O$93</f>
        <v>54149213.605333768</v>
      </c>
      <c r="I139" s="264"/>
      <c r="J139" s="265"/>
      <c r="K139" s="266"/>
      <c r="L139" s="267"/>
      <c r="M139" s="268"/>
    </row>
    <row r="140" spans="1:34" x14ac:dyDescent="0.25">
      <c r="A140" s="327">
        <v>43862</v>
      </c>
      <c r="B140" s="320"/>
      <c r="C140" s="323">
        <f t="shared" si="7"/>
        <v>814.8599999999999</v>
      </c>
      <c r="D140" s="323">
        <f t="shared" si="7"/>
        <v>0</v>
      </c>
      <c r="E140" s="322">
        <v>29</v>
      </c>
      <c r="F140" s="320">
        <v>0</v>
      </c>
      <c r="G140" s="320">
        <v>1</v>
      </c>
      <c r="H140" s="320">
        <f t="shared" si="8"/>
        <v>49781770.025442861</v>
      </c>
      <c r="I140" s="264"/>
      <c r="J140" s="265"/>
      <c r="K140" s="266"/>
      <c r="L140" s="267"/>
      <c r="M140" s="268"/>
    </row>
    <row r="141" spans="1:34" x14ac:dyDescent="0.25">
      <c r="A141" s="327">
        <v>43891</v>
      </c>
      <c r="B141" s="320"/>
      <c r="C141" s="323">
        <f t="shared" si="7"/>
        <v>708.64499999999998</v>
      </c>
      <c r="D141" s="323">
        <f t="shared" si="7"/>
        <v>6.9999999999999993E-2</v>
      </c>
      <c r="E141" s="320">
        <v>31</v>
      </c>
      <c r="F141" s="320">
        <v>1</v>
      </c>
      <c r="G141" s="320">
        <v>1</v>
      </c>
      <c r="H141" s="320">
        <f t="shared" si="8"/>
        <v>47098284.672606975</v>
      </c>
      <c r="I141" s="264"/>
      <c r="J141" s="265"/>
      <c r="K141" s="266"/>
      <c r="L141" s="267"/>
      <c r="M141" s="268"/>
    </row>
    <row r="142" spans="1:34" x14ac:dyDescent="0.25">
      <c r="A142" s="327">
        <v>43922</v>
      </c>
      <c r="B142" s="320"/>
      <c r="C142" s="323">
        <f t="shared" si="7"/>
        <v>461.17500000000001</v>
      </c>
      <c r="D142" s="323">
        <f t="shared" si="7"/>
        <v>0.01</v>
      </c>
      <c r="E142" s="320">
        <v>30</v>
      </c>
      <c r="F142" s="320">
        <v>1</v>
      </c>
      <c r="G142" s="320">
        <v>1</v>
      </c>
      <c r="H142" s="320">
        <f t="shared" si="8"/>
        <v>40802103.57998988</v>
      </c>
      <c r="I142" s="264"/>
      <c r="J142" s="265"/>
      <c r="K142" s="266"/>
      <c r="L142" s="267"/>
      <c r="M142" s="268"/>
    </row>
    <row r="143" spans="1:34" x14ac:dyDescent="0.25">
      <c r="A143" s="327">
        <v>43952</v>
      </c>
      <c r="B143" s="320"/>
      <c r="C143" s="323">
        <f t="shared" si="7"/>
        <v>199.75500000000002</v>
      </c>
      <c r="D143" s="323">
        <f t="shared" si="7"/>
        <v>9.68</v>
      </c>
      <c r="E143" s="320">
        <v>31</v>
      </c>
      <c r="F143" s="320">
        <v>1</v>
      </c>
      <c r="G143" s="320">
        <v>1</v>
      </c>
      <c r="H143" s="320">
        <f t="shared" si="8"/>
        <v>36988361.643717013</v>
      </c>
      <c r="I143" s="264"/>
      <c r="J143" s="265"/>
      <c r="K143" s="266"/>
      <c r="L143" s="267"/>
      <c r="M143" s="268"/>
    </row>
    <row r="144" spans="1:34" x14ac:dyDescent="0.25">
      <c r="A144" s="327">
        <v>43983</v>
      </c>
      <c r="B144" s="320"/>
      <c r="C144" s="323">
        <f t="shared" si="7"/>
        <v>78.965000000000003</v>
      </c>
      <c r="D144" s="323">
        <f t="shared" si="7"/>
        <v>17.859999999999996</v>
      </c>
      <c r="E144" s="320">
        <v>30</v>
      </c>
      <c r="F144" s="320">
        <v>0</v>
      </c>
      <c r="G144" s="320">
        <v>1</v>
      </c>
      <c r="H144" s="320">
        <f t="shared" si="8"/>
        <v>36457410.67077928</v>
      </c>
      <c r="I144" s="264"/>
      <c r="J144" s="265"/>
      <c r="K144" s="266"/>
      <c r="L144" s="267"/>
      <c r="M144" s="268"/>
    </row>
    <row r="145" spans="1:13" x14ac:dyDescent="0.25">
      <c r="A145" s="327">
        <v>44013</v>
      </c>
      <c r="B145" s="320"/>
      <c r="C145" s="323">
        <f t="shared" si="7"/>
        <v>22.305</v>
      </c>
      <c r="D145" s="323">
        <f t="shared" si="7"/>
        <v>63.589999999999996</v>
      </c>
      <c r="E145" s="320">
        <v>31</v>
      </c>
      <c r="F145" s="320">
        <v>0</v>
      </c>
      <c r="G145" s="320">
        <v>1</v>
      </c>
      <c r="H145" s="320">
        <f t="shared" si="8"/>
        <v>41087589.394035466</v>
      </c>
      <c r="I145" s="264"/>
      <c r="J145" s="265"/>
      <c r="K145" s="266"/>
      <c r="L145" s="267"/>
      <c r="M145" s="268"/>
    </row>
    <row r="146" spans="1:13" x14ac:dyDescent="0.25">
      <c r="A146" s="327">
        <v>44044</v>
      </c>
      <c r="B146" s="320"/>
      <c r="C146" s="323">
        <f t="shared" si="7"/>
        <v>34.94</v>
      </c>
      <c r="D146" s="323">
        <f t="shared" si="7"/>
        <v>40.075000000000003</v>
      </c>
      <c r="E146" s="320">
        <v>31</v>
      </c>
      <c r="F146" s="320">
        <v>0</v>
      </c>
      <c r="G146" s="320">
        <v>1</v>
      </c>
      <c r="H146" s="320">
        <f t="shared" si="8"/>
        <v>38787474.951428317</v>
      </c>
      <c r="I146" s="264"/>
      <c r="J146" s="265"/>
      <c r="K146" s="266"/>
      <c r="L146" s="267"/>
      <c r="M146" s="268"/>
    </row>
    <row r="147" spans="1:13" x14ac:dyDescent="0.25">
      <c r="A147" s="327">
        <v>44075</v>
      </c>
      <c r="B147" s="320"/>
      <c r="C147" s="323">
        <f t="shared" si="7"/>
        <v>139.505</v>
      </c>
      <c r="D147" s="323">
        <f t="shared" si="7"/>
        <v>15.985000000000003</v>
      </c>
      <c r="E147" s="320">
        <v>30</v>
      </c>
      <c r="F147" s="320">
        <v>1</v>
      </c>
      <c r="G147" s="320">
        <v>1</v>
      </c>
      <c r="H147" s="320">
        <f t="shared" si="8"/>
        <v>35496719.575176209</v>
      </c>
      <c r="I147" s="264"/>
      <c r="J147" s="265"/>
      <c r="K147" s="266"/>
      <c r="L147" s="267"/>
      <c r="M147" s="268"/>
    </row>
    <row r="148" spans="1:13" x14ac:dyDescent="0.25">
      <c r="A148" s="327">
        <v>44105</v>
      </c>
      <c r="B148" s="320"/>
      <c r="C148" s="323">
        <f t="shared" si="7"/>
        <v>338.37</v>
      </c>
      <c r="D148" s="323">
        <f t="shared" si="7"/>
        <v>0.32</v>
      </c>
      <c r="E148" s="320">
        <v>31</v>
      </c>
      <c r="F148" s="320">
        <v>1</v>
      </c>
      <c r="G148" s="320">
        <v>1</v>
      </c>
      <c r="H148" s="320">
        <f t="shared" si="8"/>
        <v>39003199.621422663</v>
      </c>
      <c r="I148" s="264"/>
      <c r="J148" s="265"/>
      <c r="K148" s="266"/>
      <c r="L148" s="267"/>
      <c r="M148" s="268"/>
    </row>
    <row r="149" spans="1:13" x14ac:dyDescent="0.25">
      <c r="A149" s="327">
        <v>44136</v>
      </c>
      <c r="B149" s="320"/>
      <c r="C149" s="323">
        <f t="shared" si="7"/>
        <v>568.69500000000005</v>
      </c>
      <c r="D149" s="323">
        <f t="shared" si="7"/>
        <v>0</v>
      </c>
      <c r="E149" s="320">
        <v>30</v>
      </c>
      <c r="F149" s="320">
        <v>1</v>
      </c>
      <c r="G149" s="320">
        <v>1</v>
      </c>
      <c r="H149" s="320">
        <f t="shared" si="8"/>
        <v>43159604.915817671</v>
      </c>
      <c r="I149" s="264"/>
      <c r="J149" s="265"/>
      <c r="K149" s="266"/>
      <c r="L149" s="267"/>
      <c r="M149" s="268"/>
    </row>
    <row r="150" spans="1:13" x14ac:dyDescent="0.25">
      <c r="A150" s="327">
        <v>44166</v>
      </c>
      <c r="B150" s="320"/>
      <c r="C150" s="323">
        <f t="shared" si="7"/>
        <v>790.04000000000008</v>
      </c>
      <c r="D150" s="323">
        <f t="shared" si="7"/>
        <v>0</v>
      </c>
      <c r="E150" s="320">
        <v>31</v>
      </c>
      <c r="F150" s="320">
        <v>0</v>
      </c>
      <c r="G150" s="320">
        <v>1</v>
      </c>
      <c r="H150" s="320">
        <f t="shared" si="8"/>
        <v>50959337.918607794</v>
      </c>
      <c r="I150" s="264"/>
      <c r="J150" s="265"/>
      <c r="K150" s="266"/>
      <c r="L150" s="267"/>
      <c r="M150" s="268"/>
    </row>
    <row r="151" spans="1:13" x14ac:dyDescent="0.25">
      <c r="A151" s="327">
        <v>44197</v>
      </c>
      <c r="B151" s="320"/>
      <c r="C151" s="321">
        <f>+C139</f>
        <v>935.45499999999993</v>
      </c>
      <c r="D151" s="321">
        <f>+D139</f>
        <v>0</v>
      </c>
      <c r="E151" s="320">
        <v>31</v>
      </c>
      <c r="F151" s="320">
        <v>0</v>
      </c>
      <c r="G151" s="320">
        <v>1</v>
      </c>
      <c r="H151" s="320">
        <f t="shared" si="8"/>
        <v>54149213.605333768</v>
      </c>
      <c r="I151" s="264"/>
      <c r="J151" s="265"/>
      <c r="K151" s="266"/>
      <c r="L151" s="267"/>
      <c r="M151" s="268"/>
    </row>
    <row r="152" spans="1:13" x14ac:dyDescent="0.25">
      <c r="A152" s="327">
        <v>44228</v>
      </c>
      <c r="B152" s="320"/>
      <c r="C152" s="321">
        <f t="shared" ref="C152:D162" si="9">+C140</f>
        <v>814.8599999999999</v>
      </c>
      <c r="D152" s="321">
        <f t="shared" si="9"/>
        <v>0</v>
      </c>
      <c r="E152" s="320">
        <v>28</v>
      </c>
      <c r="F152" s="320">
        <v>0</v>
      </c>
      <c r="G152" s="320">
        <v>1</v>
      </c>
      <c r="H152" s="320">
        <f t="shared" si="8"/>
        <v>48920755.860022791</v>
      </c>
      <c r="I152" s="264"/>
      <c r="J152" s="265"/>
      <c r="K152" s="266"/>
      <c r="L152" s="267"/>
      <c r="M152" s="268"/>
    </row>
    <row r="153" spans="1:13" x14ac:dyDescent="0.25">
      <c r="A153" s="327">
        <v>44256</v>
      </c>
      <c r="B153" s="320"/>
      <c r="C153" s="321">
        <f t="shared" si="9"/>
        <v>708.64499999999998</v>
      </c>
      <c r="D153" s="321">
        <f t="shared" si="9"/>
        <v>6.9999999999999993E-2</v>
      </c>
      <c r="E153" s="320">
        <v>31</v>
      </c>
      <c r="F153" s="320">
        <v>1</v>
      </c>
      <c r="G153" s="320">
        <v>1</v>
      </c>
      <c r="H153" s="320">
        <f t="shared" si="8"/>
        <v>47098284.672606975</v>
      </c>
      <c r="I153" s="264"/>
      <c r="J153" s="265"/>
      <c r="K153" s="266"/>
      <c r="L153" s="267"/>
      <c r="M153" s="268"/>
    </row>
    <row r="154" spans="1:13" x14ac:dyDescent="0.25">
      <c r="A154" s="327">
        <v>44287</v>
      </c>
      <c r="B154" s="320"/>
      <c r="C154" s="321">
        <f t="shared" si="9"/>
        <v>461.17500000000001</v>
      </c>
      <c r="D154" s="321">
        <f t="shared" si="9"/>
        <v>0.01</v>
      </c>
      <c r="E154" s="320">
        <v>30</v>
      </c>
      <c r="F154" s="320">
        <v>1</v>
      </c>
      <c r="G154" s="320">
        <v>1</v>
      </c>
      <c r="H154" s="320">
        <f t="shared" si="8"/>
        <v>40802103.57998988</v>
      </c>
      <c r="I154" s="264"/>
      <c r="J154" s="265"/>
      <c r="K154" s="266"/>
      <c r="L154" s="267"/>
      <c r="M154" s="268"/>
    </row>
    <row r="155" spans="1:13" x14ac:dyDescent="0.25">
      <c r="A155" s="327">
        <v>44317</v>
      </c>
      <c r="B155" s="320"/>
      <c r="C155" s="321">
        <f t="shared" si="9"/>
        <v>199.75500000000002</v>
      </c>
      <c r="D155" s="321">
        <f t="shared" si="9"/>
        <v>9.68</v>
      </c>
      <c r="E155" s="320">
        <v>31</v>
      </c>
      <c r="F155" s="320">
        <v>1</v>
      </c>
      <c r="G155" s="320">
        <v>1</v>
      </c>
      <c r="H155" s="320">
        <f t="shared" si="8"/>
        <v>36988361.643717013</v>
      </c>
      <c r="I155" s="264"/>
      <c r="J155" s="265"/>
      <c r="K155" s="266"/>
      <c r="L155" s="267"/>
      <c r="M155" s="268"/>
    </row>
    <row r="156" spans="1:13" x14ac:dyDescent="0.25">
      <c r="A156" s="327">
        <v>44348</v>
      </c>
      <c r="B156" s="320"/>
      <c r="C156" s="321">
        <f t="shared" si="9"/>
        <v>78.965000000000003</v>
      </c>
      <c r="D156" s="321">
        <f t="shared" si="9"/>
        <v>17.859999999999996</v>
      </c>
      <c r="E156" s="320">
        <v>30</v>
      </c>
      <c r="F156" s="320">
        <v>0</v>
      </c>
      <c r="G156" s="320">
        <v>1</v>
      </c>
      <c r="H156" s="320">
        <f t="shared" si="8"/>
        <v>36457410.67077928</v>
      </c>
      <c r="I156" s="264"/>
      <c r="J156" s="265"/>
      <c r="K156" s="266"/>
      <c r="L156" s="267"/>
      <c r="M156" s="268"/>
    </row>
    <row r="157" spans="1:13" x14ac:dyDescent="0.25">
      <c r="A157" s="327">
        <v>44378</v>
      </c>
      <c r="B157" s="320"/>
      <c r="C157" s="321">
        <f t="shared" si="9"/>
        <v>22.305</v>
      </c>
      <c r="D157" s="321">
        <f t="shared" si="9"/>
        <v>63.589999999999996</v>
      </c>
      <c r="E157" s="320">
        <v>31</v>
      </c>
      <c r="F157" s="320">
        <v>0</v>
      </c>
      <c r="G157" s="320">
        <v>1</v>
      </c>
      <c r="H157" s="320">
        <f t="shared" si="8"/>
        <v>41087589.394035466</v>
      </c>
      <c r="I157" s="264"/>
      <c r="J157" s="265"/>
      <c r="K157" s="266"/>
      <c r="L157" s="267"/>
      <c r="M157" s="268"/>
    </row>
    <row r="158" spans="1:13" x14ac:dyDescent="0.25">
      <c r="A158" s="327">
        <v>44409</v>
      </c>
      <c r="B158" s="320"/>
      <c r="C158" s="321">
        <f t="shared" si="9"/>
        <v>34.94</v>
      </c>
      <c r="D158" s="321">
        <f t="shared" si="9"/>
        <v>40.075000000000003</v>
      </c>
      <c r="E158" s="320">
        <v>31</v>
      </c>
      <c r="F158" s="320">
        <v>0</v>
      </c>
      <c r="G158" s="320">
        <v>1</v>
      </c>
      <c r="H158" s="320">
        <f t="shared" si="8"/>
        <v>38787474.951428317</v>
      </c>
      <c r="I158" s="264"/>
      <c r="J158" s="265"/>
      <c r="K158" s="266"/>
      <c r="L158" s="267"/>
      <c r="M158" s="268"/>
    </row>
    <row r="159" spans="1:13" x14ac:dyDescent="0.25">
      <c r="A159" s="327">
        <v>44440</v>
      </c>
      <c r="B159" s="320"/>
      <c r="C159" s="321">
        <f t="shared" si="9"/>
        <v>139.505</v>
      </c>
      <c r="D159" s="321">
        <f t="shared" si="9"/>
        <v>15.985000000000003</v>
      </c>
      <c r="E159" s="320">
        <v>30</v>
      </c>
      <c r="F159" s="320">
        <v>1</v>
      </c>
      <c r="G159" s="320">
        <v>1</v>
      </c>
      <c r="H159" s="320">
        <f t="shared" si="8"/>
        <v>35496719.575176209</v>
      </c>
      <c r="I159" s="264"/>
      <c r="J159" s="265"/>
      <c r="K159" s="266"/>
      <c r="L159" s="267"/>
      <c r="M159" s="268"/>
    </row>
    <row r="160" spans="1:13" x14ac:dyDescent="0.25">
      <c r="A160" s="327">
        <v>44470</v>
      </c>
      <c r="B160" s="320"/>
      <c r="C160" s="321">
        <f t="shared" si="9"/>
        <v>338.37</v>
      </c>
      <c r="D160" s="321">
        <f t="shared" si="9"/>
        <v>0.32</v>
      </c>
      <c r="E160" s="320">
        <v>31</v>
      </c>
      <c r="F160" s="320">
        <v>1</v>
      </c>
      <c r="G160" s="320">
        <v>1</v>
      </c>
      <c r="H160" s="320">
        <f t="shared" si="8"/>
        <v>39003199.621422663</v>
      </c>
      <c r="I160" s="264"/>
      <c r="J160" s="265"/>
      <c r="K160" s="266"/>
      <c r="L160" s="267"/>
      <c r="M160" s="268"/>
    </row>
    <row r="161" spans="1:13" x14ac:dyDescent="0.25">
      <c r="A161" s="327">
        <v>44501</v>
      </c>
      <c r="B161" s="320"/>
      <c r="C161" s="321">
        <f t="shared" si="9"/>
        <v>568.69500000000005</v>
      </c>
      <c r="D161" s="321">
        <f t="shared" si="9"/>
        <v>0</v>
      </c>
      <c r="E161" s="320">
        <v>30</v>
      </c>
      <c r="F161" s="320">
        <v>1</v>
      </c>
      <c r="G161" s="320">
        <v>1</v>
      </c>
      <c r="H161" s="320">
        <f t="shared" si="8"/>
        <v>43159604.915817671</v>
      </c>
      <c r="I161" s="264"/>
      <c r="J161" s="265"/>
      <c r="K161" s="266"/>
      <c r="L161" s="267"/>
      <c r="M161" s="268"/>
    </row>
    <row r="162" spans="1:13" x14ac:dyDescent="0.25">
      <c r="A162" s="327">
        <v>44531</v>
      </c>
      <c r="B162" s="320"/>
      <c r="C162" s="321">
        <f t="shared" si="9"/>
        <v>790.04000000000008</v>
      </c>
      <c r="D162" s="321">
        <f t="shared" si="9"/>
        <v>0</v>
      </c>
      <c r="E162" s="320">
        <v>31</v>
      </c>
      <c r="F162" s="320">
        <v>0</v>
      </c>
      <c r="G162" s="320">
        <v>1</v>
      </c>
      <c r="H162" s="320">
        <f t="shared" si="8"/>
        <v>50959337.918607794</v>
      </c>
      <c r="I162" s="264"/>
      <c r="J162" s="265"/>
      <c r="K162" s="266"/>
      <c r="L162" s="267"/>
      <c r="M162" s="268"/>
    </row>
    <row r="163" spans="1:13" x14ac:dyDescent="0.25">
      <c r="A163" s="235"/>
      <c r="B163" s="236"/>
      <c r="C163" s="237"/>
      <c r="D163" s="237"/>
      <c r="E163" s="236"/>
      <c r="F163" s="236"/>
      <c r="G163" s="236"/>
      <c r="H163" s="236"/>
      <c r="I163" s="26"/>
      <c r="J163" s="11"/>
      <c r="L163" s="21"/>
      <c r="M163" s="124"/>
    </row>
    <row r="164" spans="1:13" x14ac:dyDescent="0.25">
      <c r="A164" s="235"/>
      <c r="B164" s="236"/>
      <c r="C164" s="237"/>
      <c r="D164" s="237"/>
      <c r="E164" s="236"/>
      <c r="F164" s="236"/>
      <c r="G164" s="236"/>
      <c r="H164" s="236">
        <f>+SUM(H77:H162)</f>
        <v>3603727675.4232965</v>
      </c>
      <c r="I164" s="26"/>
      <c r="J164" s="11"/>
      <c r="L164" s="21"/>
      <c r="M164" s="124"/>
    </row>
    <row r="165" spans="1:13" x14ac:dyDescent="0.25">
      <c r="A165" s="235"/>
      <c r="H165" s="238"/>
    </row>
    <row r="166" spans="1:13" x14ac:dyDescent="0.25">
      <c r="A166" s="235"/>
      <c r="H166" s="238"/>
    </row>
    <row r="167" spans="1:13" x14ac:dyDescent="0.25">
      <c r="A167" s="138"/>
      <c r="I167" s="40"/>
      <c r="J167" s="126"/>
    </row>
    <row r="168" spans="1:13" ht="13" x14ac:dyDescent="0.3">
      <c r="A168" s="141" t="s">
        <v>163</v>
      </c>
    </row>
    <row r="169" spans="1:13" x14ac:dyDescent="0.25">
      <c r="A169" s="239"/>
      <c r="H169" s="122"/>
      <c r="L169" s="127"/>
      <c r="M169" s="128"/>
    </row>
    <row r="170" spans="1:13" x14ac:dyDescent="0.25">
      <c r="H170" s="122"/>
      <c r="L170" s="127"/>
      <c r="M170" s="128"/>
    </row>
    <row r="171" spans="1:13" x14ac:dyDescent="0.25">
      <c r="A171" s="239"/>
      <c r="H171" s="122"/>
      <c r="L171" s="127"/>
      <c r="M171" s="128"/>
    </row>
    <row r="172" spans="1:13" x14ac:dyDescent="0.25">
      <c r="H172" s="122"/>
      <c r="L172" s="127"/>
      <c r="M172" s="128"/>
    </row>
    <row r="173" spans="1:13" x14ac:dyDescent="0.25">
      <c r="A173" s="121">
        <v>2009</v>
      </c>
      <c r="B173" s="122">
        <f>SUM(B3:B14)</f>
        <v>580320683.07692301</v>
      </c>
      <c r="H173" s="122"/>
      <c r="L173" s="127"/>
      <c r="M173" s="128"/>
    </row>
    <row r="174" spans="1:13" x14ac:dyDescent="0.25">
      <c r="A174" s="121">
        <v>2010</v>
      </c>
      <c r="B174" s="122">
        <f>SUM(B15:B26)</f>
        <v>592105953.84615386</v>
      </c>
      <c r="G174" s="240"/>
      <c r="H174" s="122"/>
      <c r="L174" s="127"/>
      <c r="M174" s="128"/>
    </row>
    <row r="175" spans="1:13" x14ac:dyDescent="0.25">
      <c r="A175" s="121">
        <v>2011</v>
      </c>
      <c r="B175" s="122">
        <f>SUM(B27:B38)</f>
        <v>593738607.69230771</v>
      </c>
      <c r="G175" s="240"/>
      <c r="H175" s="122"/>
      <c r="L175" s="127"/>
      <c r="M175" s="128"/>
    </row>
    <row r="176" spans="1:13" x14ac:dyDescent="0.25">
      <c r="A176" s="121">
        <v>2012</v>
      </c>
      <c r="B176" s="122">
        <f>SUM(B39:B50)</f>
        <v>572612692.67601395</v>
      </c>
      <c r="G176" s="240"/>
      <c r="H176" s="122"/>
      <c r="L176" s="127"/>
      <c r="M176" s="128"/>
    </row>
    <row r="177" spans="1:13" x14ac:dyDescent="0.25">
      <c r="A177" s="121">
        <v>2013</v>
      </c>
      <c r="B177" s="122">
        <f>SUM(B51:B62)</f>
        <v>573172084.77666664</v>
      </c>
      <c r="G177" s="240"/>
      <c r="H177" s="122"/>
      <c r="L177" s="127"/>
      <c r="M177" s="128"/>
    </row>
    <row r="178" spans="1:13" x14ac:dyDescent="0.25">
      <c r="A178" s="121">
        <v>2014</v>
      </c>
      <c r="B178" s="122">
        <f>SUM(B63:B74)</f>
        <v>561189731.7228204</v>
      </c>
      <c r="G178" s="240"/>
      <c r="H178" s="122"/>
      <c r="L178" s="127"/>
      <c r="M178" s="128"/>
    </row>
    <row r="179" spans="1:13" x14ac:dyDescent="0.25">
      <c r="A179" s="121">
        <v>2015</v>
      </c>
      <c r="B179" s="122">
        <f>SUM(B77:B88)</f>
        <v>538323195.74000001</v>
      </c>
      <c r="G179" s="240"/>
      <c r="H179" s="122">
        <f>SUM(H77:H88)</f>
        <v>514903442.02267593</v>
      </c>
      <c r="L179" s="127">
        <f>H179-B179</f>
        <v>-23419753.717324078</v>
      </c>
      <c r="M179" s="128">
        <f t="shared" ref="M179:M183" si="10">L179/B179</f>
        <v>-4.3505005733833139E-2</v>
      </c>
    </row>
    <row r="180" spans="1:13" x14ac:dyDescent="0.25">
      <c r="A180" s="121">
        <v>2016</v>
      </c>
      <c r="B180" s="122">
        <f>SUM(B89:B100)</f>
        <v>508987624.24000013</v>
      </c>
      <c r="G180" s="240"/>
      <c r="H180" s="122">
        <f>SUM(H89:H100)</f>
        <v>513927826.56305665</v>
      </c>
      <c r="L180" s="127">
        <f>H180-B180</f>
        <v>4940202.323056519</v>
      </c>
      <c r="M180" s="128">
        <f t="shared" si="10"/>
        <v>9.7059379988521932E-3</v>
      </c>
    </row>
    <row r="181" spans="1:13" x14ac:dyDescent="0.25">
      <c r="A181" s="121">
        <v>2017</v>
      </c>
      <c r="B181" s="122">
        <f>SUM(B101:B112)</f>
        <v>500698339.18000001</v>
      </c>
      <c r="G181" s="240"/>
      <c r="H181" s="122">
        <f>SUM(H101:H112)</f>
        <v>507121218.68637317</v>
      </c>
      <c r="L181" s="127">
        <f>H181-B181</f>
        <v>6422879.506373167</v>
      </c>
      <c r="M181" s="128">
        <f t="shared" si="10"/>
        <v>1.2827842642522038E-2</v>
      </c>
    </row>
    <row r="182" spans="1:13" x14ac:dyDescent="0.25">
      <c r="A182" s="121">
        <v>2018</v>
      </c>
      <c r="B182" s="122">
        <f>SUM(B113:B124)</f>
        <v>514889565.40999997</v>
      </c>
      <c r="G182" s="240"/>
      <c r="H182" s="122">
        <f>SUM(H113:H124)</f>
        <v>524508322.63358557</v>
      </c>
      <c r="L182" s="127">
        <f>H182-B182</f>
        <v>9618757.2235856056</v>
      </c>
      <c r="M182" s="128">
        <f t="shared" si="10"/>
        <v>1.8681204416963301E-2</v>
      </c>
    </row>
    <row r="183" spans="1:13" x14ac:dyDescent="0.25">
      <c r="A183" s="121">
        <v>2019</v>
      </c>
      <c r="B183" s="122">
        <f>SUM(B125:B136)</f>
        <v>514147823.86999995</v>
      </c>
      <c r="G183" s="240"/>
      <c r="H183" s="122">
        <f>SUM(H125:H136)</f>
        <v>516585738.53430808</v>
      </c>
      <c r="L183" s="127">
        <f>H183-B183</f>
        <v>2437914.6643081307</v>
      </c>
      <c r="M183" s="128">
        <f t="shared" si="10"/>
        <v>4.741660960378871E-3</v>
      </c>
    </row>
    <row r="184" spans="1:13" x14ac:dyDescent="0.25">
      <c r="A184" s="121">
        <v>2020</v>
      </c>
      <c r="G184" s="240"/>
      <c r="H184" s="122">
        <f>SUM(H139:H150)</f>
        <v>513771070.57435787</v>
      </c>
      <c r="L184" s="127"/>
      <c r="M184" s="201"/>
    </row>
    <row r="185" spans="1:13" x14ac:dyDescent="0.25">
      <c r="A185" s="121">
        <v>2021</v>
      </c>
      <c r="G185" s="240"/>
      <c r="H185" s="122">
        <f>SUM(H151:H162)</f>
        <v>512910056.40893781</v>
      </c>
      <c r="L185" s="131"/>
      <c r="M185" s="132"/>
    </row>
    <row r="186" spans="1:13" x14ac:dyDescent="0.25">
      <c r="G186" s="240"/>
      <c r="H186" s="241"/>
      <c r="L186" s="129"/>
      <c r="M186" s="129"/>
    </row>
    <row r="187" spans="1:13" ht="13.5" thickBot="1" x14ac:dyDescent="0.35">
      <c r="A187" s="276" t="s">
        <v>164</v>
      </c>
      <c r="B187" s="122">
        <f>SUM(B179:B183)</f>
        <v>2577046548.4400001</v>
      </c>
      <c r="G187" s="240"/>
      <c r="H187" s="122">
        <f>SUM(H179:H183)</f>
        <v>2577046548.4399991</v>
      </c>
      <c r="L187" s="139">
        <f>H187-B187</f>
        <v>0</v>
      </c>
      <c r="M187" s="129"/>
    </row>
    <row r="188" spans="1:13" x14ac:dyDescent="0.25">
      <c r="G188" s="240"/>
      <c r="H188" s="240"/>
      <c r="L188" s="129"/>
      <c r="M188" s="129"/>
    </row>
    <row r="189" spans="1:13" ht="13.5" thickBot="1" x14ac:dyDescent="0.35">
      <c r="G189" s="240"/>
      <c r="H189" s="123">
        <f>SUM(H179:H185)</f>
        <v>3603727675.423295</v>
      </c>
      <c r="L189" s="140">
        <f>H164-H189</f>
        <v>0</v>
      </c>
      <c r="M189" s="133"/>
    </row>
    <row r="190" spans="1:13" x14ac:dyDescent="0.25">
      <c r="G190" s="240"/>
      <c r="H190" s="240"/>
      <c r="L190" s="129"/>
      <c r="M190" s="129"/>
    </row>
    <row r="191" spans="1:13" ht="13" thickBot="1" x14ac:dyDescent="0.3">
      <c r="G191" s="240"/>
      <c r="H191" s="240"/>
      <c r="L191" s="129"/>
      <c r="M191" s="129"/>
    </row>
    <row r="192" spans="1:13" ht="13" x14ac:dyDescent="0.3">
      <c r="A192" s="305" t="s">
        <v>132</v>
      </c>
      <c r="B192" s="306"/>
      <c r="C192" s="307"/>
      <c r="D192" s="307"/>
      <c r="E192" s="307"/>
      <c r="F192" s="307"/>
      <c r="G192" s="308"/>
      <c r="H192" s="309"/>
      <c r="L192" s="129"/>
      <c r="M192" s="129"/>
    </row>
    <row r="193" spans="1:13" x14ac:dyDescent="0.25">
      <c r="A193" s="310">
        <v>44197</v>
      </c>
      <c r="B193" s="207"/>
      <c r="C193" s="237">
        <f>'Weather Normal Values'!AH3</f>
        <v>936.43184210526317</v>
      </c>
      <c r="D193" s="237">
        <f>'Weather Normal Values'!AH18</f>
        <v>0</v>
      </c>
      <c r="E193" s="236">
        <v>31</v>
      </c>
      <c r="F193" s="236">
        <v>0</v>
      </c>
      <c r="G193" s="237">
        <f t="shared" ref="G193:G204" si="11">G77</f>
        <v>1</v>
      </c>
      <c r="H193" s="311">
        <f t="shared" ref="H193:H204" si="12">+C193*$O$94+D193*$O$95+E193*$O$96+F193*$O$97+$O$93</f>
        <v>54170641.964728259</v>
      </c>
      <c r="I193" s="41">
        <v>136.54905631666588</v>
      </c>
      <c r="J193" s="41">
        <v>54663.084500000143</v>
      </c>
      <c r="K193" s="136">
        <v>320</v>
      </c>
      <c r="L193" s="129"/>
      <c r="M193" s="129"/>
    </row>
    <row r="194" spans="1:13" x14ac:dyDescent="0.25">
      <c r="A194" s="310">
        <v>44228</v>
      </c>
      <c r="B194" s="207"/>
      <c r="C194" s="237">
        <f>'Weather Normal Values'!AH4</f>
        <v>819.95180451127817</v>
      </c>
      <c r="D194" s="237">
        <f>'Weather Normal Values'!AH19</f>
        <v>0</v>
      </c>
      <c r="E194" s="236">
        <v>28</v>
      </c>
      <c r="F194" s="236">
        <v>0</v>
      </c>
      <c r="G194" s="237">
        <f t="shared" si="11"/>
        <v>1</v>
      </c>
      <c r="H194" s="311">
        <f t="shared" si="12"/>
        <v>49032451.51323662</v>
      </c>
      <c r="I194" s="41">
        <v>136.80805625997368</v>
      </c>
      <c r="J194" s="41">
        <v>54663.084500000143</v>
      </c>
      <c r="K194" s="136">
        <v>304</v>
      </c>
      <c r="L194" s="129"/>
      <c r="M194" s="129"/>
    </row>
    <row r="195" spans="1:13" x14ac:dyDescent="0.25">
      <c r="A195" s="310">
        <v>44256</v>
      </c>
      <c r="B195" s="207"/>
      <c r="C195" s="237">
        <f>'Weather Normal Values'!AH5</f>
        <v>725.74860902255659</v>
      </c>
      <c r="D195" s="237">
        <f>'Weather Normal Values'!AH20</f>
        <v>4.9473684210526336E-2</v>
      </c>
      <c r="E195" s="236">
        <v>31</v>
      </c>
      <c r="F195" s="236">
        <v>1</v>
      </c>
      <c r="G195" s="237">
        <f t="shared" si="11"/>
        <v>1</v>
      </c>
      <c r="H195" s="311">
        <f t="shared" si="12"/>
        <v>47471225.869414762</v>
      </c>
      <c r="I195" s="41">
        <v>137.06754746241165</v>
      </c>
      <c r="J195" s="41">
        <v>54663.084500000143</v>
      </c>
      <c r="K195" s="136">
        <v>368</v>
      </c>
      <c r="L195" s="129"/>
      <c r="M195" s="129"/>
    </row>
    <row r="196" spans="1:13" x14ac:dyDescent="0.25">
      <c r="A196" s="310">
        <v>44287</v>
      </c>
      <c r="B196" s="207"/>
      <c r="C196" s="237">
        <f>'Weather Normal Values'!AH6</f>
        <v>463.38454887217995</v>
      </c>
      <c r="D196" s="237">
        <v>0</v>
      </c>
      <c r="E196" s="236">
        <v>30</v>
      </c>
      <c r="F196" s="236">
        <v>1</v>
      </c>
      <c r="G196" s="237">
        <f t="shared" si="11"/>
        <v>1</v>
      </c>
      <c r="H196" s="311">
        <f t="shared" si="12"/>
        <v>40849477.022472575</v>
      </c>
      <c r="I196" s="41">
        <v>137.32753085577744</v>
      </c>
      <c r="J196" s="41">
        <v>54663.084500000143</v>
      </c>
      <c r="K196" s="136">
        <v>320</v>
      </c>
      <c r="L196" s="129"/>
      <c r="M196" s="129"/>
    </row>
    <row r="197" spans="1:13" x14ac:dyDescent="0.25">
      <c r="A197" s="310">
        <v>44317</v>
      </c>
      <c r="B197" s="207"/>
      <c r="C197" s="237">
        <f>'Weather Normal Values'!AH7</f>
        <v>211.95206766917278</v>
      </c>
      <c r="D197" s="237">
        <f>'Weather Normal Values'!AH22</f>
        <v>8.3950375939849664</v>
      </c>
      <c r="E197" s="236">
        <v>31</v>
      </c>
      <c r="F197" s="236">
        <v>1</v>
      </c>
      <c r="G197" s="237">
        <f t="shared" si="11"/>
        <v>1</v>
      </c>
      <c r="H197" s="311">
        <f t="shared" si="12"/>
        <v>37115087.036839657</v>
      </c>
      <c r="I197" s="41">
        <v>137.58800737363606</v>
      </c>
      <c r="J197" s="41">
        <v>54663.084500000143</v>
      </c>
      <c r="K197" s="136">
        <v>320</v>
      </c>
      <c r="L197" s="129"/>
      <c r="M197" s="129"/>
    </row>
    <row r="198" spans="1:13" x14ac:dyDescent="0.25">
      <c r="A198" s="310">
        <v>44348</v>
      </c>
      <c r="B198" s="207"/>
      <c r="C198" s="237">
        <f>'Weather Normal Values'!AH8</f>
        <v>78.61755639097737</v>
      </c>
      <c r="D198" s="237">
        <f>'Weather Normal Values'!AH23</f>
        <v>19.662030075187886</v>
      </c>
      <c r="E198" s="236">
        <v>30</v>
      </c>
      <c r="F198" s="236">
        <v>0</v>
      </c>
      <c r="G198" s="237">
        <f t="shared" si="11"/>
        <v>1</v>
      </c>
      <c r="H198" s="311">
        <f t="shared" si="12"/>
        <v>36647294.304204218</v>
      </c>
      <c r="I198" s="41">
        <v>137.84897795132326</v>
      </c>
      <c r="J198" s="41">
        <v>54663.084500000143</v>
      </c>
      <c r="K198" s="136">
        <v>352</v>
      </c>
      <c r="L198" s="129"/>
      <c r="M198" s="129"/>
    </row>
    <row r="199" spans="1:13" x14ac:dyDescent="0.25">
      <c r="A199" s="310">
        <v>44378</v>
      </c>
      <c r="B199" s="207"/>
      <c r="C199" s="237">
        <f>'Weather Normal Values'!AH9</f>
        <v>22.022819548872349</v>
      </c>
      <c r="D199" s="237">
        <f>'Weather Normal Values'!AH24</f>
        <v>60.372105263157891</v>
      </c>
      <c r="E199" s="236">
        <v>31</v>
      </c>
      <c r="F199" s="236">
        <v>0</v>
      </c>
      <c r="G199" s="237">
        <f t="shared" si="11"/>
        <v>1</v>
      </c>
      <c r="H199" s="311">
        <f t="shared" si="12"/>
        <v>40728713.145879664</v>
      </c>
      <c r="I199" s="41">
        <v>138.11044352594894</v>
      </c>
      <c r="J199" s="41">
        <v>54663.084500000143</v>
      </c>
      <c r="K199" s="136">
        <v>336</v>
      </c>
      <c r="L199" s="129"/>
      <c r="M199" s="129"/>
    </row>
    <row r="200" spans="1:13" x14ac:dyDescent="0.25">
      <c r="A200" s="310">
        <v>44409</v>
      </c>
      <c r="B200" s="207"/>
      <c r="C200" s="237">
        <f>'Weather Normal Values'!AH10</f>
        <v>37.262255639097702</v>
      </c>
      <c r="D200" s="237">
        <f>'Weather Normal Values'!AH25</f>
        <v>37.072669172932365</v>
      </c>
      <c r="E200" s="236">
        <v>31</v>
      </c>
      <c r="F200" s="236">
        <v>0</v>
      </c>
      <c r="G200" s="237">
        <f t="shared" si="11"/>
        <v>1</v>
      </c>
      <c r="H200" s="311">
        <f t="shared" si="12"/>
        <v>38509356.686769716</v>
      </c>
      <c r="I200" s="41">
        <v>138.37240503640041</v>
      </c>
      <c r="J200" s="41">
        <v>54663.084500000143</v>
      </c>
      <c r="K200" s="136">
        <v>336</v>
      </c>
    </row>
    <row r="201" spans="1:13" x14ac:dyDescent="0.25">
      <c r="A201" s="310">
        <v>44440</v>
      </c>
      <c r="B201" s="207"/>
      <c r="C201" s="237">
        <f>'Weather Normal Values'!AH11</f>
        <v>135.11052631578951</v>
      </c>
      <c r="D201" s="237">
        <f>'Weather Normal Values'!AH26</f>
        <v>15.477105263157796</v>
      </c>
      <c r="E201" s="236">
        <v>30</v>
      </c>
      <c r="F201" s="236">
        <v>1</v>
      </c>
      <c r="G201" s="237">
        <f t="shared" si="11"/>
        <v>1</v>
      </c>
      <c r="H201" s="311">
        <f t="shared" si="12"/>
        <v>35344654.773425616</v>
      </c>
      <c r="I201" s="41">
        <v>138.63486342334582</v>
      </c>
      <c r="J201" s="41">
        <v>54663.084500000143</v>
      </c>
      <c r="K201" s="136">
        <v>336</v>
      </c>
    </row>
    <row r="202" spans="1:13" x14ac:dyDescent="0.25">
      <c r="A202" s="310">
        <v>44470</v>
      </c>
      <c r="B202" s="207"/>
      <c r="C202" s="237">
        <f>'Weather Normal Values'!AH12</f>
        <v>341.97796992481199</v>
      </c>
      <c r="D202" s="237">
        <f>'Weather Normal Values'!AH27</f>
        <v>0.36165413533834112</v>
      </c>
      <c r="E202" s="236">
        <v>31</v>
      </c>
      <c r="F202" s="236">
        <v>1</v>
      </c>
      <c r="G202" s="237">
        <f t="shared" si="11"/>
        <v>1</v>
      </c>
      <c r="H202" s="311">
        <f t="shared" si="12"/>
        <v>39086910.703624301</v>
      </c>
      <c r="I202" s="41">
        <v>138.89781962923757</v>
      </c>
      <c r="J202" s="41">
        <v>54663.084500000143</v>
      </c>
      <c r="K202" s="136">
        <v>320</v>
      </c>
    </row>
    <row r="203" spans="1:13" x14ac:dyDescent="0.25">
      <c r="A203" s="310">
        <v>44501</v>
      </c>
      <c r="B203" s="207"/>
      <c r="C203" s="237">
        <f>'Weather Normal Values'!AH13</f>
        <v>574.3820676691721</v>
      </c>
      <c r="D203" s="237">
        <f>'Weather Normal Values'!AH28</f>
        <v>0</v>
      </c>
      <c r="E203" s="236">
        <v>30</v>
      </c>
      <c r="F203" s="236">
        <v>1</v>
      </c>
      <c r="G203" s="237">
        <f t="shared" si="11"/>
        <v>1</v>
      </c>
      <c r="H203" s="311">
        <f t="shared" si="12"/>
        <v>43284358.475537486</v>
      </c>
      <c r="I203" s="41">
        <v>139.16127459831566</v>
      </c>
      <c r="J203" s="41">
        <v>54663.084500000143</v>
      </c>
      <c r="K203" s="136">
        <v>336</v>
      </c>
    </row>
    <row r="204" spans="1:13" x14ac:dyDescent="0.25">
      <c r="A204" s="310">
        <v>44531</v>
      </c>
      <c r="B204" s="207"/>
      <c r="C204" s="237">
        <f>'Weather Normal Values'!AH14</f>
        <v>793.39364661654099</v>
      </c>
      <c r="D204" s="237">
        <f>'Weather Normal Values'!AH29</f>
        <v>0</v>
      </c>
      <c r="E204" s="236">
        <v>31</v>
      </c>
      <c r="F204" s="236">
        <v>0</v>
      </c>
      <c r="G204" s="237">
        <f t="shared" si="11"/>
        <v>1</v>
      </c>
      <c r="H204" s="311">
        <f t="shared" si="12"/>
        <v>51032904.715733089</v>
      </c>
      <c r="I204" s="41">
        <v>139.42522927661113</v>
      </c>
      <c r="J204" s="41">
        <v>54663.084500000143</v>
      </c>
      <c r="K204" s="136">
        <v>368</v>
      </c>
    </row>
    <row r="205" spans="1:13" ht="13" thickBot="1" x14ac:dyDescent="0.3">
      <c r="A205" s="312"/>
      <c r="B205" s="313"/>
      <c r="C205" s="314">
        <f>SUM(C193:C204)</f>
        <v>5140.2357142857127</v>
      </c>
      <c r="D205" s="314">
        <f>SUM(D193:D204)</f>
        <v>141.39007518796976</v>
      </c>
      <c r="E205" s="315"/>
      <c r="F205" s="315"/>
      <c r="G205" s="315"/>
      <c r="H205" s="316">
        <f>SUM(H193:H204)</f>
        <v>513273076.21186602</v>
      </c>
      <c r="L205" s="124">
        <f>+H205-H185</f>
        <v>363019.8029282093</v>
      </c>
      <c r="M205" s="125">
        <f>+L205/H205</f>
        <v>7.0726445580863474E-4</v>
      </c>
    </row>
    <row r="206" spans="1:13" x14ac:dyDescent="0.25">
      <c r="H206" s="121"/>
    </row>
  </sheetData>
  <phoneticPr fontId="0" type="noConversion"/>
  <pageMargins left="0.39" right="0.26" top="1" bottom="1" header="0.5" footer="0.5"/>
  <pageSetup orientation="landscape" verticalDpi="300" r:id="rId1"/>
  <headerFooter alignWithMargins="0">
    <oddFooter>&amp;C&amp;A
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8"/>
  <sheetViews>
    <sheetView workbookViewId="0">
      <selection activeCell="J27" sqref="J27"/>
    </sheetView>
  </sheetViews>
  <sheetFormatPr defaultRowHeight="12.5" x14ac:dyDescent="0.25"/>
  <cols>
    <col min="2" max="2" width="10.7265625" bestFit="1" customWidth="1"/>
    <col min="7" max="7" width="11.7265625" bestFit="1" customWidth="1"/>
    <col min="8" max="8" width="11.26953125" bestFit="1" customWidth="1"/>
    <col min="10" max="10" width="60" bestFit="1" customWidth="1"/>
    <col min="11" max="11" width="29.1796875" bestFit="1" customWidth="1"/>
    <col min="12" max="12" width="15" bestFit="1" customWidth="1"/>
    <col min="13" max="13" width="11.81640625" bestFit="1" customWidth="1"/>
  </cols>
  <sheetData>
    <row r="1" spans="1:18" ht="26" x14ac:dyDescent="0.3">
      <c r="J1" s="336" t="s">
        <v>243</v>
      </c>
    </row>
    <row r="4" spans="1:18" ht="38" x14ac:dyDescent="0.3">
      <c r="A4" s="317"/>
      <c r="B4" s="318" t="s">
        <v>0</v>
      </c>
      <c r="C4" s="319" t="s">
        <v>4</v>
      </c>
      <c r="D4" s="319" t="s">
        <v>5</v>
      </c>
      <c r="E4" s="319" t="s">
        <v>6</v>
      </c>
      <c r="F4" s="319" t="s">
        <v>18</v>
      </c>
      <c r="G4" s="319" t="s">
        <v>11</v>
      </c>
      <c r="H4" s="116" t="s">
        <v>12</v>
      </c>
      <c r="I4" s="116" t="s">
        <v>140</v>
      </c>
      <c r="J4" s="25"/>
      <c r="K4" s="25"/>
      <c r="L4" s="25"/>
      <c r="M4" s="25"/>
      <c r="N4" s="25"/>
      <c r="O4" s="25"/>
      <c r="P4" s="25"/>
      <c r="Q4" s="25"/>
      <c r="R4" s="25"/>
    </row>
    <row r="5" spans="1:18" ht="13" x14ac:dyDescent="0.3">
      <c r="A5" s="317">
        <v>42005</v>
      </c>
      <c r="B5" s="320">
        <v>60955014.140000008</v>
      </c>
      <c r="C5" s="321">
        <v>935.45499999999993</v>
      </c>
      <c r="D5" s="321">
        <v>0</v>
      </c>
      <c r="E5" s="320">
        <v>31</v>
      </c>
      <c r="F5" s="320">
        <v>0</v>
      </c>
      <c r="G5" s="320">
        <f>+C5*$K$22+D5*$K$23+E5*$K$24+F5*$K$25+$K$21</f>
        <v>54149213.605333768</v>
      </c>
      <c r="H5" s="11">
        <f t="shared" ref="H5:H36" si="0">G5-B5</f>
        <v>-6805800.5346662402</v>
      </c>
      <c r="I5" s="132">
        <f t="shared" ref="I5:I36" si="1">ABS(H5/B5)</f>
        <v>0.11165284153711853</v>
      </c>
      <c r="J5" t="s">
        <v>19</v>
      </c>
    </row>
    <row r="6" spans="1:18" ht="13.5" thickBot="1" x14ac:dyDescent="0.35">
      <c r="A6" s="317">
        <v>42036</v>
      </c>
      <c r="B6" s="320">
        <v>56605601.299999997</v>
      </c>
      <c r="C6" s="321">
        <v>814.8599999999999</v>
      </c>
      <c r="D6" s="321">
        <v>0</v>
      </c>
      <c r="E6" s="320">
        <v>28</v>
      </c>
      <c r="F6" s="320">
        <v>0</v>
      </c>
      <c r="G6" s="320">
        <f t="shared" ref="G6:G64" si="2">+C6*$K$22+D6*$K$23+E6*$K$24+F6*$K$25+$K$21</f>
        <v>48920755.860022791</v>
      </c>
      <c r="H6" s="11">
        <f t="shared" si="0"/>
        <v>-7684845.4399772063</v>
      </c>
      <c r="I6" s="132">
        <f t="shared" si="1"/>
        <v>0.13576121909294525</v>
      </c>
    </row>
    <row r="7" spans="1:18" ht="13" x14ac:dyDescent="0.3">
      <c r="A7" s="317">
        <v>42064</v>
      </c>
      <c r="B7" s="320">
        <v>52369680.829999998</v>
      </c>
      <c r="C7" s="321">
        <v>708.64499999999998</v>
      </c>
      <c r="D7" s="321">
        <v>6.9999999999999993E-2</v>
      </c>
      <c r="E7" s="320">
        <v>31</v>
      </c>
      <c r="F7" s="320">
        <v>1</v>
      </c>
      <c r="G7" s="320">
        <f t="shared" si="2"/>
        <v>47098284.672606975</v>
      </c>
      <c r="H7" s="11">
        <f t="shared" si="0"/>
        <v>-5271396.1573930234</v>
      </c>
      <c r="I7" s="132">
        <f t="shared" si="1"/>
        <v>0.10065740470148715</v>
      </c>
      <c r="J7" s="31" t="s">
        <v>20</v>
      </c>
      <c r="K7" s="31"/>
    </row>
    <row r="8" spans="1:18" ht="13" x14ac:dyDescent="0.3">
      <c r="A8" s="317">
        <v>42095</v>
      </c>
      <c r="B8" s="320">
        <v>42936932</v>
      </c>
      <c r="C8" s="321">
        <v>461.17500000000001</v>
      </c>
      <c r="D8" s="321">
        <v>0.01</v>
      </c>
      <c r="E8" s="320">
        <v>30</v>
      </c>
      <c r="F8" s="320">
        <v>1</v>
      </c>
      <c r="G8" s="320">
        <f t="shared" si="2"/>
        <v>40802103.57998988</v>
      </c>
      <c r="H8" s="11">
        <f t="shared" si="0"/>
        <v>-2134828.4200101197</v>
      </c>
      <c r="I8" s="132">
        <f t="shared" si="1"/>
        <v>4.9720096908883002E-2</v>
      </c>
      <c r="J8" s="28" t="s">
        <v>21</v>
      </c>
      <c r="K8" s="258">
        <v>0.97835139641235858</v>
      </c>
    </row>
    <row r="9" spans="1:18" ht="13" x14ac:dyDescent="0.3">
      <c r="A9" s="317">
        <v>42125</v>
      </c>
      <c r="B9" s="320">
        <v>38321444.109999999</v>
      </c>
      <c r="C9" s="321">
        <v>199.75500000000002</v>
      </c>
      <c r="D9" s="321">
        <v>9.68</v>
      </c>
      <c r="E9" s="320">
        <v>31</v>
      </c>
      <c r="F9" s="320">
        <v>1</v>
      </c>
      <c r="G9" s="320">
        <f t="shared" si="2"/>
        <v>36988361.643717013</v>
      </c>
      <c r="H9" s="11">
        <f t="shared" si="0"/>
        <v>-1333082.4662829861</v>
      </c>
      <c r="I9" s="132">
        <f t="shared" si="1"/>
        <v>3.4786853607511041E-2</v>
      </c>
      <c r="J9" s="28" t="s">
        <v>22</v>
      </c>
      <c r="K9" s="258">
        <v>0.95717145486201205</v>
      </c>
    </row>
    <row r="10" spans="1:18" ht="13" x14ac:dyDescent="0.3">
      <c r="A10" s="317">
        <v>42156</v>
      </c>
      <c r="B10" s="320">
        <v>37322701.109999999</v>
      </c>
      <c r="C10" s="321">
        <v>78.965000000000003</v>
      </c>
      <c r="D10" s="321">
        <v>17.859999999999996</v>
      </c>
      <c r="E10" s="320">
        <v>30</v>
      </c>
      <c r="F10" s="320">
        <v>0</v>
      </c>
      <c r="G10" s="320">
        <f t="shared" si="2"/>
        <v>36457410.67077928</v>
      </c>
      <c r="H10" s="11">
        <f t="shared" si="0"/>
        <v>-865290.43922071904</v>
      </c>
      <c r="I10" s="132">
        <f t="shared" si="1"/>
        <v>2.3184025096963809E-2</v>
      </c>
      <c r="J10" s="28" t="s">
        <v>23</v>
      </c>
      <c r="K10" s="258">
        <v>0.95405665157924924</v>
      </c>
    </row>
    <row r="11" spans="1:18" ht="13" x14ac:dyDescent="0.3">
      <c r="A11" s="317">
        <v>42186</v>
      </c>
      <c r="B11" s="320">
        <v>41173435.550000004</v>
      </c>
      <c r="C11" s="321">
        <v>22.305</v>
      </c>
      <c r="D11" s="321">
        <v>63.589999999999996</v>
      </c>
      <c r="E11" s="320">
        <v>31</v>
      </c>
      <c r="F11" s="320">
        <v>0</v>
      </c>
      <c r="G11" s="320">
        <f t="shared" si="2"/>
        <v>41087589.394035466</v>
      </c>
      <c r="H11" s="11">
        <f t="shared" si="0"/>
        <v>-85846.155964538455</v>
      </c>
      <c r="I11" s="132">
        <f t="shared" si="1"/>
        <v>2.0849888967921803E-3</v>
      </c>
      <c r="J11" s="28" t="s">
        <v>24</v>
      </c>
      <c r="K11" s="28">
        <v>1380193.7476317249</v>
      </c>
    </row>
    <row r="12" spans="1:18" ht="13.5" thickBot="1" x14ac:dyDescent="0.35">
      <c r="A12" s="317">
        <v>42217</v>
      </c>
      <c r="B12" s="320">
        <v>40113558.109999999</v>
      </c>
      <c r="C12" s="321">
        <v>34.94</v>
      </c>
      <c r="D12" s="321">
        <v>40.075000000000003</v>
      </c>
      <c r="E12" s="320">
        <v>31</v>
      </c>
      <c r="F12" s="320">
        <v>0</v>
      </c>
      <c r="G12" s="320">
        <f t="shared" si="2"/>
        <v>38787474.951428317</v>
      </c>
      <c r="H12" s="11">
        <f t="shared" si="0"/>
        <v>-1326083.1585716829</v>
      </c>
      <c r="I12" s="132">
        <f t="shared" si="1"/>
        <v>3.3058228216387035E-2</v>
      </c>
      <c r="J12" s="29" t="s">
        <v>25</v>
      </c>
      <c r="K12" s="29">
        <v>60</v>
      </c>
    </row>
    <row r="13" spans="1:18" ht="13" x14ac:dyDescent="0.3">
      <c r="A13" s="317">
        <v>42248</v>
      </c>
      <c r="B13" s="320">
        <v>39126212.020000003</v>
      </c>
      <c r="C13" s="321">
        <v>139.505</v>
      </c>
      <c r="D13" s="321">
        <v>15.985000000000003</v>
      </c>
      <c r="E13" s="320">
        <v>30</v>
      </c>
      <c r="F13" s="320">
        <v>1</v>
      </c>
      <c r="G13" s="320">
        <f t="shared" si="2"/>
        <v>35496719.575176209</v>
      </c>
      <c r="H13" s="11">
        <f t="shared" si="0"/>
        <v>-3629492.4448237941</v>
      </c>
      <c r="I13" s="132">
        <f t="shared" si="1"/>
        <v>9.2763706411663871E-2</v>
      </c>
    </row>
    <row r="14" spans="1:18" ht="13.5" thickBot="1" x14ac:dyDescent="0.35">
      <c r="A14" s="317">
        <v>42278</v>
      </c>
      <c r="B14" s="320">
        <v>40715708.719999999</v>
      </c>
      <c r="C14" s="321">
        <v>338.37</v>
      </c>
      <c r="D14" s="321">
        <v>0.32</v>
      </c>
      <c r="E14" s="320">
        <v>31</v>
      </c>
      <c r="F14" s="320">
        <v>1</v>
      </c>
      <c r="G14" s="320">
        <f t="shared" si="2"/>
        <v>39003199.621422663</v>
      </c>
      <c r="H14" s="11">
        <f t="shared" si="0"/>
        <v>-1712509.0985773355</v>
      </c>
      <c r="I14" s="132">
        <f t="shared" si="1"/>
        <v>4.206015693731821E-2</v>
      </c>
      <c r="J14" t="s">
        <v>26</v>
      </c>
    </row>
    <row r="15" spans="1:18" ht="13" x14ac:dyDescent="0.3">
      <c r="A15" s="317">
        <v>42309</v>
      </c>
      <c r="B15" s="320">
        <v>42394598.530000001</v>
      </c>
      <c r="C15" s="321">
        <v>568.69500000000005</v>
      </c>
      <c r="D15" s="321">
        <v>0</v>
      </c>
      <c r="E15" s="320">
        <v>30</v>
      </c>
      <c r="F15" s="320">
        <v>1</v>
      </c>
      <c r="G15" s="320">
        <f t="shared" si="2"/>
        <v>43159604.915817671</v>
      </c>
      <c r="H15" s="11">
        <f t="shared" si="0"/>
        <v>765006.38581766933</v>
      </c>
      <c r="I15" s="132">
        <f t="shared" si="1"/>
        <v>1.8044902236220548E-2</v>
      </c>
      <c r="J15" s="30"/>
      <c r="K15" s="30" t="s">
        <v>29</v>
      </c>
      <c r="L15" s="30" t="s">
        <v>30</v>
      </c>
      <c r="M15" s="30" t="s">
        <v>31</v>
      </c>
      <c r="N15" s="30" t="s">
        <v>32</v>
      </c>
      <c r="O15" s="30" t="s">
        <v>33</v>
      </c>
    </row>
    <row r="16" spans="1:18" ht="13" x14ac:dyDescent="0.3">
      <c r="A16" s="317">
        <v>42339</v>
      </c>
      <c r="B16" s="320">
        <v>46288309.32</v>
      </c>
      <c r="C16" s="321">
        <v>790.04000000000008</v>
      </c>
      <c r="D16" s="321">
        <v>0</v>
      </c>
      <c r="E16" s="322">
        <v>31</v>
      </c>
      <c r="F16" s="320">
        <v>0</v>
      </c>
      <c r="G16" s="320">
        <f t="shared" si="2"/>
        <v>50959337.918607794</v>
      </c>
      <c r="H16" s="11">
        <f t="shared" si="0"/>
        <v>4671028.5986077935</v>
      </c>
      <c r="I16" s="132">
        <f t="shared" si="1"/>
        <v>0.10091162687140014</v>
      </c>
      <c r="J16" s="28" t="s">
        <v>27</v>
      </c>
      <c r="K16" s="28">
        <v>4</v>
      </c>
      <c r="L16" s="28">
        <v>2341527255784045</v>
      </c>
      <c r="M16" s="28">
        <v>585381813946011.25</v>
      </c>
      <c r="N16" s="28">
        <v>307.29756198697243</v>
      </c>
      <c r="O16" s="28">
        <v>6.444396557517594E-37</v>
      </c>
    </row>
    <row r="17" spans="1:18" ht="13" x14ac:dyDescent="0.3">
      <c r="A17" s="317">
        <v>42370</v>
      </c>
      <c r="B17" s="320">
        <v>53275789.689999998</v>
      </c>
      <c r="C17" s="321">
        <v>935.45499999999993</v>
      </c>
      <c r="D17" s="321">
        <v>0</v>
      </c>
      <c r="E17" s="322">
        <v>31</v>
      </c>
      <c r="F17" s="320">
        <v>0</v>
      </c>
      <c r="G17" s="320">
        <f t="shared" si="2"/>
        <v>54149213.605333768</v>
      </c>
      <c r="H17" s="11">
        <f t="shared" si="0"/>
        <v>873423.91533377022</v>
      </c>
      <c r="I17" s="132">
        <f t="shared" si="1"/>
        <v>1.6394387026753245E-2</v>
      </c>
      <c r="J17" s="28" t="s">
        <v>28</v>
      </c>
      <c r="K17" s="28">
        <v>55</v>
      </c>
      <c r="L17" s="28">
        <v>104771412955093.8</v>
      </c>
      <c r="M17" s="28">
        <v>1904934781001.7053</v>
      </c>
      <c r="N17" s="28"/>
      <c r="O17" s="28"/>
    </row>
    <row r="18" spans="1:18" ht="13.5" thickBot="1" x14ac:dyDescent="0.35">
      <c r="A18" s="317">
        <v>42401</v>
      </c>
      <c r="B18" s="320">
        <v>50185519.68</v>
      </c>
      <c r="C18" s="321">
        <v>814.8599999999999</v>
      </c>
      <c r="D18" s="321">
        <v>0</v>
      </c>
      <c r="E18" s="322">
        <v>29</v>
      </c>
      <c r="F18" s="320">
        <v>0</v>
      </c>
      <c r="G18" s="320">
        <f t="shared" si="2"/>
        <v>49781770.025442861</v>
      </c>
      <c r="H18" s="11">
        <f t="shared" si="0"/>
        <v>-403749.65455713868</v>
      </c>
      <c r="I18" s="132">
        <f t="shared" si="1"/>
        <v>8.0451424460996779E-3</v>
      </c>
      <c r="J18" s="29" t="s">
        <v>10</v>
      </c>
      <c r="K18" s="29">
        <v>59</v>
      </c>
      <c r="L18" s="29">
        <v>2446298668739139</v>
      </c>
      <c r="M18" s="29"/>
      <c r="N18" s="29"/>
      <c r="O18" s="29"/>
    </row>
    <row r="19" spans="1:18" ht="13.5" thickBot="1" x14ac:dyDescent="0.35">
      <c r="A19" s="317">
        <v>42430</v>
      </c>
      <c r="B19" s="320">
        <v>45995357.460000001</v>
      </c>
      <c r="C19" s="321">
        <v>708.64499999999998</v>
      </c>
      <c r="D19" s="321">
        <v>6.9999999999999993E-2</v>
      </c>
      <c r="E19" s="322">
        <v>31</v>
      </c>
      <c r="F19" s="320">
        <v>1</v>
      </c>
      <c r="G19" s="320">
        <f t="shared" si="2"/>
        <v>47098284.672606975</v>
      </c>
      <c r="H19" s="11">
        <f t="shared" si="0"/>
        <v>1102927.2126069739</v>
      </c>
      <c r="I19" s="132">
        <f t="shared" si="1"/>
        <v>2.3979098620249616E-2</v>
      </c>
    </row>
    <row r="20" spans="1:18" ht="13" x14ac:dyDescent="0.3">
      <c r="A20" s="317">
        <v>42461</v>
      </c>
      <c r="B20" s="320">
        <v>41316026.82</v>
      </c>
      <c r="C20" s="321">
        <v>461.17500000000001</v>
      </c>
      <c r="D20" s="321">
        <v>0.01</v>
      </c>
      <c r="E20" s="320">
        <v>30</v>
      </c>
      <c r="F20" s="320">
        <v>1</v>
      </c>
      <c r="G20" s="320">
        <f t="shared" si="2"/>
        <v>40802103.57998988</v>
      </c>
      <c r="H20" s="11">
        <f t="shared" si="0"/>
        <v>-513923.24001011997</v>
      </c>
      <c r="I20" s="132">
        <f t="shared" si="1"/>
        <v>1.2438834988879988E-2</v>
      </c>
      <c r="J20" s="30"/>
      <c r="K20" s="30" t="s">
        <v>34</v>
      </c>
      <c r="L20" s="30" t="s">
        <v>24</v>
      </c>
      <c r="M20" s="30" t="s">
        <v>35</v>
      </c>
      <c r="N20" s="30" t="s">
        <v>36</v>
      </c>
      <c r="O20" s="30" t="s">
        <v>37</v>
      </c>
      <c r="P20" s="30" t="s">
        <v>38</v>
      </c>
      <c r="Q20" s="30" t="s">
        <v>161</v>
      </c>
      <c r="R20" s="30" t="s">
        <v>162</v>
      </c>
    </row>
    <row r="21" spans="1:18" ht="13" x14ac:dyDescent="0.3">
      <c r="A21" s="317">
        <v>42491</v>
      </c>
      <c r="B21" s="320">
        <v>36199389.279999994</v>
      </c>
      <c r="C21" s="321">
        <v>199.75500000000002</v>
      </c>
      <c r="D21" s="321">
        <v>9.68</v>
      </c>
      <c r="E21" s="320">
        <v>31</v>
      </c>
      <c r="F21" s="320">
        <v>1</v>
      </c>
      <c r="G21" s="320">
        <f t="shared" si="2"/>
        <v>36988361.643717013</v>
      </c>
      <c r="H21" s="11">
        <f t="shared" si="0"/>
        <v>788972.36371701956</v>
      </c>
      <c r="I21" s="132">
        <f t="shared" si="1"/>
        <v>2.1795184377680188E-2</v>
      </c>
      <c r="J21" s="28" t="s">
        <v>124</v>
      </c>
      <c r="K21" s="259">
        <v>6937297.4940139567</v>
      </c>
      <c r="L21" s="28">
        <v>6820540.9259391651</v>
      </c>
      <c r="M21" s="259">
        <v>1.0171183736513851</v>
      </c>
      <c r="N21" s="28">
        <v>0.31355062074215168</v>
      </c>
      <c r="O21" s="28">
        <v>-6731371.9678245457</v>
      </c>
      <c r="P21" s="28">
        <v>20605966.95585246</v>
      </c>
      <c r="Q21" s="28">
        <v>-6731371.9678245457</v>
      </c>
      <c r="R21" s="28">
        <v>20605966.95585246</v>
      </c>
    </row>
    <row r="22" spans="1:18" ht="13" x14ac:dyDescent="0.3">
      <c r="A22" s="317">
        <v>42522</v>
      </c>
      <c r="B22" s="320">
        <v>36570354.549999997</v>
      </c>
      <c r="C22" s="321">
        <v>78.965000000000003</v>
      </c>
      <c r="D22" s="321">
        <v>17.859999999999996</v>
      </c>
      <c r="E22" s="320">
        <v>30</v>
      </c>
      <c r="F22" s="320">
        <v>0</v>
      </c>
      <c r="G22" s="320">
        <f t="shared" si="2"/>
        <v>36457410.67077928</v>
      </c>
      <c r="H22" s="11">
        <f t="shared" si="0"/>
        <v>-112943.87922071666</v>
      </c>
      <c r="I22" s="132">
        <f t="shared" si="1"/>
        <v>3.0883998968699268E-3</v>
      </c>
      <c r="J22" s="28" t="s">
        <v>4</v>
      </c>
      <c r="K22" s="259">
        <v>21936.359293924117</v>
      </c>
      <c r="L22" s="28">
        <v>748.39981627408224</v>
      </c>
      <c r="M22" s="259">
        <v>29.311016407158615</v>
      </c>
      <c r="N22" s="28">
        <v>2.9850631118911255E-35</v>
      </c>
      <c r="O22" s="28">
        <v>20436.532546305487</v>
      </c>
      <c r="P22" s="28">
        <v>23436.186041542747</v>
      </c>
      <c r="Q22" s="28">
        <v>20436.532546305487</v>
      </c>
      <c r="R22" s="28">
        <v>23436.186041542747</v>
      </c>
    </row>
    <row r="23" spans="1:18" ht="13" x14ac:dyDescent="0.3">
      <c r="A23" s="317">
        <v>42552</v>
      </c>
      <c r="B23" s="320">
        <v>40114786.689999998</v>
      </c>
      <c r="C23" s="321">
        <v>22.305</v>
      </c>
      <c r="D23" s="321">
        <v>63.589999999999996</v>
      </c>
      <c r="E23" s="320">
        <v>31</v>
      </c>
      <c r="F23" s="320">
        <v>0</v>
      </c>
      <c r="G23" s="320">
        <f t="shared" si="2"/>
        <v>41087589.394035466</v>
      </c>
      <c r="H23" s="11">
        <f t="shared" si="0"/>
        <v>972802.7040354684</v>
      </c>
      <c r="I23" s="132">
        <f t="shared" si="1"/>
        <v>2.4250476801811669E-2</v>
      </c>
      <c r="J23" s="28" t="s">
        <v>5</v>
      </c>
      <c r="K23" s="259">
        <v>109601.54549376482</v>
      </c>
      <c r="L23" s="28">
        <v>12298.27701309162</v>
      </c>
      <c r="M23" s="259">
        <v>8.9119431426933264</v>
      </c>
      <c r="N23" s="28">
        <v>2.9234292125944223E-12</v>
      </c>
      <c r="O23" s="28">
        <v>84955.247602233751</v>
      </c>
      <c r="P23" s="28">
        <v>134247.84338529588</v>
      </c>
      <c r="Q23" s="28">
        <v>84955.247602233751</v>
      </c>
      <c r="R23" s="28">
        <v>134247.84338529588</v>
      </c>
    </row>
    <row r="24" spans="1:18" ht="13" x14ac:dyDescent="0.3">
      <c r="A24" s="317">
        <v>42583</v>
      </c>
      <c r="B24" s="320">
        <v>41396574.859999999</v>
      </c>
      <c r="C24" s="321">
        <v>34.94</v>
      </c>
      <c r="D24" s="321">
        <v>40.075000000000003</v>
      </c>
      <c r="E24" s="320">
        <v>31</v>
      </c>
      <c r="F24" s="320">
        <v>0</v>
      </c>
      <c r="G24" s="320">
        <f t="shared" si="2"/>
        <v>38787474.951428317</v>
      </c>
      <c r="H24" s="11">
        <f t="shared" si="0"/>
        <v>-2609099.9085716829</v>
      </c>
      <c r="I24" s="132">
        <f t="shared" si="1"/>
        <v>6.302695132134617E-2</v>
      </c>
      <c r="J24" s="28" t="s">
        <v>6</v>
      </c>
      <c r="K24" s="259">
        <v>861014.1654200654</v>
      </c>
      <c r="L24" s="28">
        <v>224866.44809693948</v>
      </c>
      <c r="M24" s="259">
        <v>3.8290023821111983</v>
      </c>
      <c r="N24" s="28">
        <v>3.3178858990512661E-4</v>
      </c>
      <c r="O24" s="28">
        <v>410371.73317463446</v>
      </c>
      <c r="P24" s="28">
        <v>1311656.5976654964</v>
      </c>
      <c r="Q24" s="28">
        <v>410371.73317463446</v>
      </c>
      <c r="R24" s="28">
        <v>1311656.5976654964</v>
      </c>
    </row>
    <row r="25" spans="1:18" ht="13.5" thickBot="1" x14ac:dyDescent="0.35">
      <c r="A25" s="317">
        <v>42614</v>
      </c>
      <c r="B25" s="320">
        <v>36257722.280000001</v>
      </c>
      <c r="C25" s="321">
        <v>139.505</v>
      </c>
      <c r="D25" s="321">
        <v>15.985000000000003</v>
      </c>
      <c r="E25" s="320">
        <v>30</v>
      </c>
      <c r="F25" s="320">
        <v>1</v>
      </c>
      <c r="G25" s="320">
        <f t="shared" si="2"/>
        <v>35496719.575176209</v>
      </c>
      <c r="H25" s="11">
        <f t="shared" si="0"/>
        <v>-761002.70482379198</v>
      </c>
      <c r="I25" s="132">
        <f t="shared" si="1"/>
        <v>2.0988706873171847E-2</v>
      </c>
      <c r="J25" s="29" t="s">
        <v>18</v>
      </c>
      <c r="K25" s="260">
        <v>-2083215.3894564267</v>
      </c>
      <c r="L25" s="29">
        <v>407542.18219589384</v>
      </c>
      <c r="M25" s="260">
        <v>-5.1116558738331648</v>
      </c>
      <c r="N25" s="29">
        <v>4.1555149131339647E-6</v>
      </c>
      <c r="O25" s="29">
        <v>-2899948.1736563821</v>
      </c>
      <c r="P25" s="29">
        <v>-1266482.6052564713</v>
      </c>
      <c r="Q25" s="29">
        <v>-2899948.1736563821</v>
      </c>
      <c r="R25" s="29">
        <v>-1266482.6052564713</v>
      </c>
    </row>
    <row r="26" spans="1:18" ht="13" x14ac:dyDescent="0.3">
      <c r="A26" s="317">
        <v>42644</v>
      </c>
      <c r="B26" s="320">
        <v>38047287.729999997</v>
      </c>
      <c r="C26" s="321">
        <v>338.37</v>
      </c>
      <c r="D26" s="321">
        <v>0.32</v>
      </c>
      <c r="E26" s="320">
        <v>31</v>
      </c>
      <c r="F26" s="320">
        <v>1</v>
      </c>
      <c r="G26" s="320">
        <f t="shared" si="2"/>
        <v>39003199.621422663</v>
      </c>
      <c r="H26" s="11">
        <f t="shared" si="0"/>
        <v>955911.89142266661</v>
      </c>
      <c r="I26" s="132">
        <f t="shared" si="1"/>
        <v>2.5124311046985284E-2</v>
      </c>
    </row>
    <row r="27" spans="1:18" ht="13" x14ac:dyDescent="0.3">
      <c r="A27" s="317">
        <v>42675</v>
      </c>
      <c r="B27" s="320">
        <v>40688064.800000004</v>
      </c>
      <c r="C27" s="321">
        <v>568.69500000000005</v>
      </c>
      <c r="D27" s="321">
        <v>0</v>
      </c>
      <c r="E27" s="320">
        <v>30</v>
      </c>
      <c r="F27" s="320">
        <v>1</v>
      </c>
      <c r="G27" s="320">
        <f t="shared" si="2"/>
        <v>43159604.915817671</v>
      </c>
      <c r="H27" s="11">
        <f t="shared" si="0"/>
        <v>2471540.1158176661</v>
      </c>
      <c r="I27" s="132">
        <f t="shared" si="1"/>
        <v>6.0743614324406642E-2</v>
      </c>
    </row>
    <row r="28" spans="1:18" ht="13" x14ac:dyDescent="0.3">
      <c r="A28" s="317">
        <v>42705</v>
      </c>
      <c r="B28" s="320">
        <v>48940750.400000006</v>
      </c>
      <c r="C28" s="321">
        <v>790.04000000000008</v>
      </c>
      <c r="D28" s="321">
        <v>0</v>
      </c>
      <c r="E28" s="320">
        <v>31</v>
      </c>
      <c r="F28" s="320">
        <v>0</v>
      </c>
      <c r="G28" s="320">
        <f t="shared" si="2"/>
        <v>50959337.918607794</v>
      </c>
      <c r="H28" s="11">
        <f t="shared" si="0"/>
        <v>2018587.5186077878</v>
      </c>
      <c r="I28" s="132">
        <f t="shared" si="1"/>
        <v>4.1245536737985686E-2</v>
      </c>
    </row>
    <row r="29" spans="1:18" ht="13" x14ac:dyDescent="0.3">
      <c r="A29" s="317">
        <v>42736</v>
      </c>
      <c r="B29" s="320">
        <v>50172295.439999998</v>
      </c>
      <c r="C29" s="321">
        <v>935.45499999999993</v>
      </c>
      <c r="D29" s="321">
        <v>0</v>
      </c>
      <c r="E29" s="320">
        <v>31</v>
      </c>
      <c r="F29" s="320">
        <v>0</v>
      </c>
      <c r="G29" s="320">
        <f t="shared" si="2"/>
        <v>54149213.605333768</v>
      </c>
      <c r="H29" s="11">
        <f t="shared" si="0"/>
        <v>3976918.1653337702</v>
      </c>
      <c r="I29" s="132">
        <f t="shared" si="1"/>
        <v>7.926522257865766E-2</v>
      </c>
      <c r="J29" s="130"/>
      <c r="K29" s="130"/>
      <c r="L29" s="25"/>
      <c r="M29" s="25"/>
      <c r="N29" s="25"/>
      <c r="O29" s="25"/>
      <c r="P29" s="25"/>
      <c r="Q29" s="25"/>
      <c r="R29" s="25"/>
    </row>
    <row r="30" spans="1:18" ht="13" x14ac:dyDescent="0.3">
      <c r="A30" s="317">
        <v>42767</v>
      </c>
      <c r="B30" s="320">
        <v>44767408.370000005</v>
      </c>
      <c r="C30" s="321">
        <v>814.8599999999999</v>
      </c>
      <c r="D30" s="321">
        <v>0</v>
      </c>
      <c r="E30" s="320">
        <v>28</v>
      </c>
      <c r="F30" s="320">
        <v>0</v>
      </c>
      <c r="G30" s="320">
        <f t="shared" si="2"/>
        <v>48920755.860022791</v>
      </c>
      <c r="H30" s="11">
        <f t="shared" si="0"/>
        <v>4153347.490022786</v>
      </c>
      <c r="I30" s="132">
        <f t="shared" si="1"/>
        <v>9.2776143208818621E-2</v>
      </c>
      <c r="J30" s="130"/>
      <c r="K30" s="130"/>
      <c r="L30" s="25"/>
      <c r="M30" s="25"/>
      <c r="N30" s="25"/>
      <c r="O30" s="25"/>
      <c r="P30" s="25"/>
      <c r="Q30" s="25"/>
      <c r="R30" s="25"/>
    </row>
    <row r="31" spans="1:18" ht="13" x14ac:dyDescent="0.3">
      <c r="A31" s="317">
        <v>42795</v>
      </c>
      <c r="B31" s="320">
        <v>48902656.549999997</v>
      </c>
      <c r="C31" s="321">
        <v>708.64499999999998</v>
      </c>
      <c r="D31" s="321">
        <v>6.9999999999999993E-2</v>
      </c>
      <c r="E31" s="320">
        <v>31</v>
      </c>
      <c r="F31" s="320">
        <v>1</v>
      </c>
      <c r="G31" s="320">
        <f t="shared" si="2"/>
        <v>47098284.672606975</v>
      </c>
      <c r="H31" s="11">
        <f t="shared" si="0"/>
        <v>-1804371.8773930222</v>
      </c>
      <c r="I31" s="132">
        <f t="shared" si="1"/>
        <v>3.6897215911944607E-2</v>
      </c>
      <c r="J31" s="130"/>
      <c r="K31" s="130"/>
      <c r="L31" s="25"/>
      <c r="M31" s="25"/>
      <c r="N31" s="25"/>
      <c r="O31" s="25"/>
      <c r="P31" s="25"/>
      <c r="Q31" s="25"/>
      <c r="R31" s="25"/>
    </row>
    <row r="32" spans="1:18" ht="13" x14ac:dyDescent="0.3">
      <c r="A32" s="317">
        <v>42826</v>
      </c>
      <c r="B32" s="320">
        <v>38767220.770000003</v>
      </c>
      <c r="C32" s="321">
        <v>461.17500000000001</v>
      </c>
      <c r="D32" s="321">
        <v>0.01</v>
      </c>
      <c r="E32" s="320">
        <v>30</v>
      </c>
      <c r="F32" s="320">
        <v>1</v>
      </c>
      <c r="G32" s="320">
        <f t="shared" si="2"/>
        <v>40802103.57998988</v>
      </c>
      <c r="H32" s="11">
        <f t="shared" si="0"/>
        <v>2034882.809989877</v>
      </c>
      <c r="I32" s="132">
        <f t="shared" si="1"/>
        <v>5.2489777950875713E-2</v>
      </c>
      <c r="J32" s="130"/>
      <c r="K32" s="130"/>
      <c r="L32" s="25"/>
      <c r="M32" s="25"/>
      <c r="N32" s="25"/>
      <c r="O32" s="25"/>
      <c r="P32" s="25"/>
      <c r="Q32" s="25"/>
      <c r="R32" s="25"/>
    </row>
    <row r="33" spans="1:18" ht="13" x14ac:dyDescent="0.3">
      <c r="A33" s="317">
        <v>42856</v>
      </c>
      <c r="B33" s="320">
        <v>36984603.399999999</v>
      </c>
      <c r="C33" s="321">
        <v>199.75500000000002</v>
      </c>
      <c r="D33" s="321">
        <v>9.68</v>
      </c>
      <c r="E33" s="320">
        <v>31</v>
      </c>
      <c r="F33" s="320">
        <v>1</v>
      </c>
      <c r="G33" s="320">
        <f t="shared" si="2"/>
        <v>36988361.643717013</v>
      </c>
      <c r="H33" s="11">
        <f t="shared" si="0"/>
        <v>3758.2437170147896</v>
      </c>
      <c r="I33" s="132">
        <f t="shared" si="1"/>
        <v>1.0161643958617628E-4</v>
      </c>
      <c r="J33" s="130"/>
      <c r="K33" s="130"/>
      <c r="L33" s="25"/>
      <c r="M33" s="25"/>
      <c r="N33" s="25"/>
      <c r="O33" s="25"/>
      <c r="P33" s="25"/>
      <c r="Q33" s="25"/>
      <c r="R33" s="25"/>
    </row>
    <row r="34" spans="1:18" ht="13" x14ac:dyDescent="0.3">
      <c r="A34" s="317">
        <v>42887</v>
      </c>
      <c r="B34" s="320">
        <v>35651141.509999998</v>
      </c>
      <c r="C34" s="321">
        <v>78.965000000000003</v>
      </c>
      <c r="D34" s="321">
        <v>17.859999999999996</v>
      </c>
      <c r="E34" s="320">
        <v>30</v>
      </c>
      <c r="F34" s="320">
        <v>0</v>
      </c>
      <c r="G34" s="320">
        <f t="shared" si="2"/>
        <v>36457410.67077928</v>
      </c>
      <c r="H34" s="11">
        <f t="shared" si="0"/>
        <v>806269.16077928245</v>
      </c>
      <c r="I34" s="132">
        <f t="shared" si="1"/>
        <v>2.2615521597060987E-2</v>
      </c>
      <c r="J34" s="130"/>
      <c r="K34" s="130"/>
      <c r="L34" s="25"/>
      <c r="M34" s="25"/>
      <c r="N34" s="25"/>
      <c r="O34" s="25"/>
      <c r="P34" s="25"/>
      <c r="Q34" s="25"/>
      <c r="R34" s="25"/>
    </row>
    <row r="35" spans="1:18" ht="13" x14ac:dyDescent="0.3">
      <c r="A35" s="317">
        <v>42917</v>
      </c>
      <c r="B35" s="320">
        <v>38088069.340000004</v>
      </c>
      <c r="C35" s="321">
        <v>22.305</v>
      </c>
      <c r="D35" s="321">
        <v>63.589999999999996</v>
      </c>
      <c r="E35" s="320">
        <v>31</v>
      </c>
      <c r="F35" s="320">
        <v>0</v>
      </c>
      <c r="G35" s="320">
        <f t="shared" si="2"/>
        <v>41087589.394035466</v>
      </c>
      <c r="H35" s="11">
        <f t="shared" si="0"/>
        <v>2999520.0540354624</v>
      </c>
      <c r="I35" s="132">
        <f t="shared" si="1"/>
        <v>7.8752220997596573E-2</v>
      </c>
      <c r="J35" s="25"/>
      <c r="K35" s="25"/>
      <c r="L35" s="25"/>
      <c r="M35" s="25"/>
      <c r="N35" s="25"/>
      <c r="O35" s="25"/>
      <c r="P35" s="25"/>
      <c r="Q35" s="25"/>
      <c r="R35" s="25"/>
    </row>
    <row r="36" spans="1:18" ht="13" x14ac:dyDescent="0.3">
      <c r="A36" s="317">
        <v>42948</v>
      </c>
      <c r="B36" s="320">
        <v>36767307.260000005</v>
      </c>
      <c r="C36" s="321">
        <v>34.94</v>
      </c>
      <c r="D36" s="321">
        <v>40.075000000000003</v>
      </c>
      <c r="E36" s="320">
        <v>31</v>
      </c>
      <c r="F36" s="320">
        <v>0</v>
      </c>
      <c r="G36" s="320">
        <f t="shared" si="2"/>
        <v>38787474.951428317</v>
      </c>
      <c r="H36" s="11">
        <f t="shared" si="0"/>
        <v>2020167.6914283112</v>
      </c>
      <c r="I36" s="132">
        <f t="shared" si="1"/>
        <v>5.4944673460656117E-2</v>
      </c>
      <c r="J36" s="25"/>
      <c r="K36" s="25"/>
      <c r="L36" s="25"/>
      <c r="M36" s="25"/>
      <c r="N36" s="25"/>
      <c r="O36" s="25"/>
      <c r="P36" s="25"/>
      <c r="Q36" s="25"/>
      <c r="R36" s="25"/>
    </row>
    <row r="37" spans="1:18" ht="13" x14ac:dyDescent="0.3">
      <c r="A37" s="317">
        <v>42979</v>
      </c>
      <c r="B37" s="320">
        <v>36665579.789999999</v>
      </c>
      <c r="C37" s="321">
        <v>139.505</v>
      </c>
      <c r="D37" s="321">
        <v>15.985000000000003</v>
      </c>
      <c r="E37" s="320">
        <v>30</v>
      </c>
      <c r="F37" s="320">
        <v>1</v>
      </c>
      <c r="G37" s="320">
        <f t="shared" si="2"/>
        <v>35496719.575176209</v>
      </c>
      <c r="H37" s="11">
        <f t="shared" ref="H37:H64" si="3">G37-B37</f>
        <v>-1168860.2148237899</v>
      </c>
      <c r="I37" s="132">
        <f t="shared" ref="I37:I64" si="4">ABS(H37/B37)</f>
        <v>3.1878950817588854E-2</v>
      </c>
      <c r="J37" s="25"/>
      <c r="K37" s="25"/>
      <c r="L37" s="25"/>
      <c r="M37" s="25"/>
      <c r="N37" s="25"/>
      <c r="O37" s="25"/>
      <c r="P37" s="25"/>
      <c r="Q37" s="25"/>
      <c r="R37" s="25"/>
    </row>
    <row r="38" spans="1:18" ht="13" x14ac:dyDescent="0.3">
      <c r="A38" s="317">
        <v>43009</v>
      </c>
      <c r="B38" s="320">
        <v>37361044.370000005</v>
      </c>
      <c r="C38" s="321">
        <v>338.37</v>
      </c>
      <c r="D38" s="321">
        <v>0.32</v>
      </c>
      <c r="E38" s="320">
        <v>31</v>
      </c>
      <c r="F38" s="320">
        <v>1</v>
      </c>
      <c r="G38" s="320">
        <f t="shared" si="2"/>
        <v>39003199.621422663</v>
      </c>
      <c r="H38" s="11">
        <f t="shared" si="3"/>
        <v>1642155.2514226586</v>
      </c>
      <c r="I38" s="132">
        <f t="shared" si="4"/>
        <v>4.3953676325527685E-2</v>
      </c>
      <c r="J38" s="25"/>
      <c r="K38" s="25"/>
      <c r="L38" s="25"/>
      <c r="M38" s="25"/>
      <c r="N38" s="25"/>
      <c r="O38" s="25"/>
      <c r="P38" s="25"/>
      <c r="Q38" s="25"/>
      <c r="R38" s="25"/>
    </row>
    <row r="39" spans="1:18" ht="13" x14ac:dyDescent="0.3">
      <c r="A39" s="317">
        <v>43040</v>
      </c>
      <c r="B39" s="320">
        <v>43727236.93</v>
      </c>
      <c r="C39" s="321">
        <v>568.69500000000005</v>
      </c>
      <c r="D39" s="321">
        <v>0</v>
      </c>
      <c r="E39" s="320">
        <v>30</v>
      </c>
      <c r="F39" s="320">
        <v>1</v>
      </c>
      <c r="G39" s="320">
        <f t="shared" si="2"/>
        <v>43159604.915817671</v>
      </c>
      <c r="H39" s="11">
        <f t="shared" si="3"/>
        <v>-567632.01418232918</v>
      </c>
      <c r="I39" s="132">
        <f t="shared" si="4"/>
        <v>1.2981200140567152E-2</v>
      </c>
      <c r="J39" s="25"/>
      <c r="K39" s="25"/>
      <c r="L39" s="25"/>
      <c r="M39" s="25"/>
      <c r="N39" s="25"/>
      <c r="O39" s="25"/>
      <c r="P39" s="25"/>
      <c r="Q39" s="25"/>
      <c r="R39" s="25"/>
    </row>
    <row r="40" spans="1:18" ht="13" x14ac:dyDescent="0.3">
      <c r="A40" s="317">
        <v>43070</v>
      </c>
      <c r="B40" s="320">
        <v>52843775.450000003</v>
      </c>
      <c r="C40" s="321">
        <v>790.04000000000008</v>
      </c>
      <c r="D40" s="321">
        <v>0</v>
      </c>
      <c r="E40" s="320">
        <v>31</v>
      </c>
      <c r="F40" s="320">
        <v>0</v>
      </c>
      <c r="G40" s="320">
        <f t="shared" si="2"/>
        <v>50959337.918607794</v>
      </c>
      <c r="H40" s="11">
        <f t="shared" si="3"/>
        <v>-1884437.5313922092</v>
      </c>
      <c r="I40" s="132">
        <f t="shared" si="4"/>
        <v>3.5660539303730032E-2</v>
      </c>
      <c r="J40" s="25"/>
      <c r="K40" s="25"/>
      <c r="L40" s="25"/>
      <c r="M40" s="25"/>
      <c r="N40" s="25"/>
      <c r="O40" s="25"/>
      <c r="P40" s="25"/>
      <c r="Q40" s="25"/>
      <c r="R40" s="25"/>
    </row>
    <row r="41" spans="1:18" ht="13" x14ac:dyDescent="0.3">
      <c r="A41" s="317">
        <v>43101</v>
      </c>
      <c r="B41" s="320">
        <v>55165428.389999993</v>
      </c>
      <c r="C41" s="321">
        <v>935.45499999999993</v>
      </c>
      <c r="D41" s="321">
        <v>0</v>
      </c>
      <c r="E41" s="320">
        <v>31</v>
      </c>
      <c r="F41" s="320">
        <v>0</v>
      </c>
      <c r="G41" s="320">
        <f t="shared" si="2"/>
        <v>54149213.605333768</v>
      </c>
      <c r="H41" s="11">
        <f t="shared" si="3"/>
        <v>-1016214.7846662253</v>
      </c>
      <c r="I41" s="132">
        <f t="shared" si="4"/>
        <v>1.8421225291353628E-2</v>
      </c>
      <c r="J41" s="25"/>
      <c r="K41" s="25"/>
      <c r="L41" s="25"/>
      <c r="M41" s="25"/>
      <c r="N41" s="25"/>
      <c r="O41" s="25"/>
      <c r="P41" s="25"/>
      <c r="Q41" s="25"/>
      <c r="R41" s="25"/>
    </row>
    <row r="42" spans="1:18" ht="13" x14ac:dyDescent="0.3">
      <c r="A42" s="317">
        <v>43132</v>
      </c>
      <c r="B42" s="320">
        <v>46543672.770000003</v>
      </c>
      <c r="C42" s="321">
        <v>814.8599999999999</v>
      </c>
      <c r="D42" s="321">
        <v>0</v>
      </c>
      <c r="E42" s="320">
        <v>28</v>
      </c>
      <c r="F42" s="320">
        <v>0</v>
      </c>
      <c r="G42" s="320">
        <f t="shared" si="2"/>
        <v>48920755.860022791</v>
      </c>
      <c r="H42" s="11">
        <f t="shared" si="3"/>
        <v>2377083.0900227875</v>
      </c>
      <c r="I42" s="132">
        <f t="shared" si="4"/>
        <v>5.1072099569137358E-2</v>
      </c>
      <c r="J42" s="25"/>
      <c r="K42" s="25"/>
      <c r="L42" s="25"/>
      <c r="M42" s="25"/>
      <c r="N42" s="25"/>
      <c r="O42" s="25"/>
      <c r="P42" s="25"/>
      <c r="Q42" s="25"/>
      <c r="R42" s="25"/>
    </row>
    <row r="43" spans="1:18" ht="13" x14ac:dyDescent="0.3">
      <c r="A43" s="317">
        <v>43160</v>
      </c>
      <c r="B43" s="320">
        <v>46187500.800000004</v>
      </c>
      <c r="C43" s="321">
        <v>708.64499999999998</v>
      </c>
      <c r="D43" s="321">
        <v>6.9999999999999993E-2</v>
      </c>
      <c r="E43" s="320">
        <v>31</v>
      </c>
      <c r="F43" s="320">
        <v>1</v>
      </c>
      <c r="G43" s="320">
        <f t="shared" si="2"/>
        <v>47098284.672606975</v>
      </c>
      <c r="H43" s="11">
        <f t="shared" si="3"/>
        <v>910783.87260697037</v>
      </c>
      <c r="I43" s="132">
        <f t="shared" si="4"/>
        <v>1.9719271595811702E-2</v>
      </c>
      <c r="J43" s="25"/>
      <c r="K43" s="25"/>
      <c r="L43" s="25"/>
      <c r="M43" s="25"/>
      <c r="N43" s="25"/>
      <c r="O43" s="25"/>
      <c r="P43" s="25"/>
      <c r="Q43" s="25"/>
      <c r="R43" s="25"/>
    </row>
    <row r="44" spans="1:18" ht="13" x14ac:dyDescent="0.3">
      <c r="A44" s="317">
        <v>43191</v>
      </c>
      <c r="B44" s="320">
        <v>42016294.270000003</v>
      </c>
      <c r="C44" s="321">
        <v>461.17500000000001</v>
      </c>
      <c r="D44" s="321">
        <v>0.01</v>
      </c>
      <c r="E44" s="320">
        <v>30</v>
      </c>
      <c r="F44" s="320">
        <v>1</v>
      </c>
      <c r="G44" s="320">
        <f t="shared" si="2"/>
        <v>40802103.57998988</v>
      </c>
      <c r="H44" s="11">
        <f t="shared" si="3"/>
        <v>-1214190.690010123</v>
      </c>
      <c r="I44" s="132">
        <f t="shared" si="4"/>
        <v>2.8898090874165113E-2</v>
      </c>
      <c r="J44" s="25"/>
      <c r="K44" s="25"/>
      <c r="L44" s="25"/>
      <c r="M44" s="25"/>
      <c r="N44" s="25"/>
      <c r="O44" s="25"/>
      <c r="P44" s="25"/>
      <c r="Q44" s="25"/>
      <c r="R44" s="25"/>
    </row>
    <row r="45" spans="1:18" ht="13" x14ac:dyDescent="0.3">
      <c r="A45" s="317">
        <v>43221</v>
      </c>
      <c r="B45" s="320">
        <v>36563258.369999997</v>
      </c>
      <c r="C45" s="321">
        <v>199.75500000000002</v>
      </c>
      <c r="D45" s="321">
        <v>9.68</v>
      </c>
      <c r="E45" s="320">
        <v>31</v>
      </c>
      <c r="F45" s="320">
        <v>1</v>
      </c>
      <c r="G45" s="320">
        <f t="shared" si="2"/>
        <v>36988361.643717013</v>
      </c>
      <c r="H45" s="11">
        <f t="shared" si="3"/>
        <v>425103.27371701598</v>
      </c>
      <c r="I45" s="132">
        <f t="shared" si="4"/>
        <v>1.1626515050032069E-2</v>
      </c>
      <c r="J45" s="25"/>
      <c r="K45" s="25"/>
      <c r="L45" s="25"/>
      <c r="M45" s="25"/>
      <c r="N45" s="25"/>
      <c r="O45" s="25"/>
      <c r="P45" s="25"/>
      <c r="Q45" s="25"/>
      <c r="R45" s="25"/>
    </row>
    <row r="46" spans="1:18" ht="13" x14ac:dyDescent="0.3">
      <c r="A46" s="317">
        <v>43252</v>
      </c>
      <c r="B46" s="320">
        <v>35697073.240000002</v>
      </c>
      <c r="C46" s="321">
        <v>78.965000000000003</v>
      </c>
      <c r="D46" s="321">
        <v>17.859999999999996</v>
      </c>
      <c r="E46" s="320">
        <v>30</v>
      </c>
      <c r="F46" s="320">
        <v>0</v>
      </c>
      <c r="G46" s="320">
        <f t="shared" si="2"/>
        <v>36457410.67077928</v>
      </c>
      <c r="H46" s="11">
        <f t="shared" si="3"/>
        <v>760337.43077927828</v>
      </c>
      <c r="I46" s="132">
        <f t="shared" si="4"/>
        <v>2.1299713443378034E-2</v>
      </c>
      <c r="J46" s="25"/>
      <c r="K46" s="25"/>
      <c r="L46" s="25"/>
      <c r="M46" s="25"/>
      <c r="N46" s="25"/>
      <c r="O46" s="25"/>
      <c r="P46" s="25"/>
      <c r="Q46" s="25"/>
      <c r="R46" s="25"/>
    </row>
    <row r="47" spans="1:18" ht="13" x14ac:dyDescent="0.3">
      <c r="A47" s="317">
        <v>43282</v>
      </c>
      <c r="B47" s="320">
        <v>42293825.449999996</v>
      </c>
      <c r="C47" s="321">
        <v>22.305</v>
      </c>
      <c r="D47" s="321">
        <v>63.589999999999996</v>
      </c>
      <c r="E47" s="320">
        <v>31</v>
      </c>
      <c r="F47" s="320">
        <v>0</v>
      </c>
      <c r="G47" s="320">
        <f t="shared" si="2"/>
        <v>41087589.394035466</v>
      </c>
      <c r="H47" s="11">
        <f t="shared" si="3"/>
        <v>-1206236.0559645295</v>
      </c>
      <c r="I47" s="132">
        <f t="shared" si="4"/>
        <v>2.852038195009219E-2</v>
      </c>
      <c r="J47" s="25"/>
      <c r="K47" s="25"/>
      <c r="L47" s="25"/>
      <c r="M47" s="25"/>
      <c r="N47" s="25"/>
      <c r="O47" s="25"/>
      <c r="P47" s="25"/>
      <c r="Q47" s="25"/>
      <c r="R47" s="25"/>
    </row>
    <row r="48" spans="1:18" ht="13" x14ac:dyDescent="0.3">
      <c r="A48" s="317">
        <v>43313</v>
      </c>
      <c r="B48" s="320">
        <v>40093008.969999999</v>
      </c>
      <c r="C48" s="321">
        <v>34.94</v>
      </c>
      <c r="D48" s="321">
        <v>40.075000000000003</v>
      </c>
      <c r="E48" s="320">
        <v>31</v>
      </c>
      <c r="F48" s="320">
        <v>0</v>
      </c>
      <c r="G48" s="320">
        <f t="shared" si="2"/>
        <v>38787474.951428317</v>
      </c>
      <c r="H48" s="11">
        <f t="shared" si="3"/>
        <v>-1305534.0185716823</v>
      </c>
      <c r="I48" s="132">
        <f t="shared" si="4"/>
        <v>3.2562635035663236E-2</v>
      </c>
      <c r="J48" s="25"/>
      <c r="K48" s="25"/>
      <c r="L48" s="25"/>
      <c r="M48" s="25"/>
      <c r="N48" s="25"/>
      <c r="O48" s="25"/>
      <c r="P48" s="25"/>
      <c r="Q48" s="25"/>
      <c r="R48" s="25"/>
    </row>
    <row r="49" spans="1:18" ht="13" x14ac:dyDescent="0.3">
      <c r="A49" s="317">
        <v>43344</v>
      </c>
      <c r="B49" s="320">
        <v>35816190.109999999</v>
      </c>
      <c r="C49" s="321">
        <v>139.505</v>
      </c>
      <c r="D49" s="321">
        <v>15.985000000000003</v>
      </c>
      <c r="E49" s="320">
        <v>30</v>
      </c>
      <c r="F49" s="320">
        <v>1</v>
      </c>
      <c r="G49" s="320">
        <f t="shared" si="2"/>
        <v>35496719.575176209</v>
      </c>
      <c r="H49" s="11">
        <f t="shared" si="3"/>
        <v>-319470.53482379019</v>
      </c>
      <c r="I49" s="132">
        <f t="shared" si="4"/>
        <v>8.9197241203662521E-3</v>
      </c>
      <c r="J49" s="25"/>
      <c r="K49" s="25"/>
      <c r="L49" s="25"/>
      <c r="M49" s="25"/>
      <c r="N49" s="25"/>
      <c r="O49" s="25"/>
      <c r="P49" s="25"/>
      <c r="Q49" s="25"/>
      <c r="R49" s="25"/>
    </row>
    <row r="50" spans="1:18" ht="13" x14ac:dyDescent="0.3">
      <c r="A50" s="317">
        <v>43374</v>
      </c>
      <c r="B50" s="320">
        <v>39622117.82</v>
      </c>
      <c r="C50" s="321">
        <v>338.37</v>
      </c>
      <c r="D50" s="321">
        <v>0.32</v>
      </c>
      <c r="E50" s="320">
        <v>31</v>
      </c>
      <c r="F50" s="320">
        <v>1</v>
      </c>
      <c r="G50" s="320">
        <f t="shared" si="2"/>
        <v>39003199.621422663</v>
      </c>
      <c r="H50" s="11">
        <f t="shared" si="3"/>
        <v>-618918.19857733697</v>
      </c>
      <c r="I50" s="132">
        <f t="shared" si="4"/>
        <v>1.5620522895546145E-2</v>
      </c>
      <c r="J50" s="25"/>
      <c r="K50" s="25"/>
      <c r="L50" s="25"/>
      <c r="M50" s="25"/>
      <c r="N50" s="25"/>
      <c r="O50" s="25"/>
      <c r="P50" s="25"/>
      <c r="Q50" s="25"/>
      <c r="R50" s="25"/>
    </row>
    <row r="51" spans="1:18" ht="13" x14ac:dyDescent="0.3">
      <c r="A51" s="317">
        <v>43405</v>
      </c>
      <c r="B51" s="320">
        <v>44982862.210000001</v>
      </c>
      <c r="C51" s="321">
        <v>568.69500000000005</v>
      </c>
      <c r="D51" s="321">
        <v>0</v>
      </c>
      <c r="E51" s="320">
        <v>30</v>
      </c>
      <c r="F51" s="320">
        <v>1</v>
      </c>
      <c r="G51" s="320">
        <f t="shared" si="2"/>
        <v>43159604.915817671</v>
      </c>
      <c r="H51" s="11">
        <f t="shared" si="3"/>
        <v>-1823257.2941823304</v>
      </c>
      <c r="I51" s="132">
        <f t="shared" si="4"/>
        <v>4.053226505842502E-2</v>
      </c>
      <c r="J51" s="25"/>
      <c r="K51" s="25"/>
      <c r="L51" s="25"/>
      <c r="M51" s="25"/>
      <c r="N51" s="25"/>
      <c r="O51" s="25"/>
      <c r="P51" s="25"/>
      <c r="Q51" s="25"/>
      <c r="R51" s="25"/>
    </row>
    <row r="52" spans="1:18" ht="13" x14ac:dyDescent="0.3">
      <c r="A52" s="317">
        <v>43435</v>
      </c>
      <c r="B52" s="320">
        <v>49908333.010000005</v>
      </c>
      <c r="C52" s="321">
        <v>790.04000000000008</v>
      </c>
      <c r="D52" s="321">
        <v>0</v>
      </c>
      <c r="E52" s="320">
        <v>31</v>
      </c>
      <c r="F52" s="320">
        <v>0</v>
      </c>
      <c r="G52" s="320">
        <f t="shared" si="2"/>
        <v>50959337.918607794</v>
      </c>
      <c r="H52" s="11">
        <f t="shared" si="3"/>
        <v>1051004.9086077884</v>
      </c>
      <c r="I52" s="132">
        <f t="shared" si="4"/>
        <v>2.105870593588452E-2</v>
      </c>
      <c r="J52" s="25"/>
      <c r="K52" s="25"/>
      <c r="L52" s="25"/>
      <c r="M52" s="25"/>
      <c r="N52" s="25"/>
      <c r="O52" s="25"/>
      <c r="P52" s="25"/>
      <c r="Q52" s="25"/>
      <c r="R52" s="25"/>
    </row>
    <row r="53" spans="1:18" ht="13" x14ac:dyDescent="0.3">
      <c r="A53" s="317">
        <v>43466</v>
      </c>
      <c r="B53" s="320">
        <v>56704515.530000001</v>
      </c>
      <c r="C53" s="321">
        <v>935.45499999999993</v>
      </c>
      <c r="D53" s="321">
        <v>0</v>
      </c>
      <c r="E53" s="320">
        <v>31</v>
      </c>
      <c r="F53" s="320">
        <v>0</v>
      </c>
      <c r="G53" s="320">
        <f t="shared" si="2"/>
        <v>54149213.605333768</v>
      </c>
      <c r="H53" s="11">
        <f t="shared" si="3"/>
        <v>-2555301.9246662334</v>
      </c>
      <c r="I53" s="132">
        <f t="shared" si="4"/>
        <v>4.5063464536864432E-2</v>
      </c>
      <c r="J53" s="25"/>
      <c r="K53" s="25"/>
      <c r="L53" s="25"/>
      <c r="M53" s="25"/>
      <c r="N53" s="25"/>
      <c r="O53" s="25"/>
      <c r="P53" s="25"/>
      <c r="Q53" s="25"/>
      <c r="R53" s="25"/>
    </row>
    <row r="54" spans="1:18" ht="13" x14ac:dyDescent="0.3">
      <c r="A54" s="317">
        <v>43497</v>
      </c>
      <c r="B54" s="320">
        <v>49050451.480000004</v>
      </c>
      <c r="C54" s="321">
        <v>814.8599999999999</v>
      </c>
      <c r="D54" s="321">
        <v>0</v>
      </c>
      <c r="E54" s="320">
        <v>28</v>
      </c>
      <c r="F54" s="320">
        <v>0</v>
      </c>
      <c r="G54" s="320">
        <f t="shared" si="2"/>
        <v>48920755.860022791</v>
      </c>
      <c r="H54" s="11">
        <f t="shared" si="3"/>
        <v>-129695.61997721344</v>
      </c>
      <c r="I54" s="132">
        <f t="shared" si="4"/>
        <v>2.6441269359181326E-3</v>
      </c>
      <c r="J54" s="25"/>
      <c r="K54" s="25"/>
      <c r="L54" s="25"/>
      <c r="M54" s="25"/>
      <c r="N54" s="25"/>
      <c r="O54" s="25"/>
      <c r="P54" s="25"/>
      <c r="Q54" s="25"/>
      <c r="R54" s="25"/>
    </row>
    <row r="55" spans="1:18" ht="13" x14ac:dyDescent="0.3">
      <c r="A55" s="317">
        <v>43525</v>
      </c>
      <c r="B55" s="320">
        <v>48618580.050000004</v>
      </c>
      <c r="C55" s="321">
        <v>708.64499999999998</v>
      </c>
      <c r="D55" s="321">
        <v>6.9999999999999993E-2</v>
      </c>
      <c r="E55" s="320">
        <v>31</v>
      </c>
      <c r="F55" s="320">
        <v>1</v>
      </c>
      <c r="G55" s="320">
        <f t="shared" si="2"/>
        <v>47098284.672606975</v>
      </c>
      <c r="H55" s="11">
        <f t="shared" si="3"/>
        <v>-1520295.3773930296</v>
      </c>
      <c r="I55" s="132">
        <f t="shared" si="4"/>
        <v>3.1269843253948125E-2</v>
      </c>
      <c r="J55" s="25"/>
      <c r="K55" s="25"/>
      <c r="L55" s="25"/>
      <c r="M55" s="25"/>
      <c r="N55" s="25"/>
      <c r="O55" s="25"/>
      <c r="P55" s="25"/>
      <c r="Q55" s="25"/>
      <c r="R55" s="25"/>
    </row>
    <row r="56" spans="1:18" ht="13" x14ac:dyDescent="0.3">
      <c r="A56" s="317">
        <v>43556</v>
      </c>
      <c r="B56" s="320">
        <v>40799605.960000001</v>
      </c>
      <c r="C56" s="321">
        <v>461.17500000000001</v>
      </c>
      <c r="D56" s="321">
        <v>0.01</v>
      </c>
      <c r="E56" s="320">
        <v>30</v>
      </c>
      <c r="F56" s="320">
        <v>1</v>
      </c>
      <c r="G56" s="320">
        <f t="shared" si="2"/>
        <v>40802103.57998988</v>
      </c>
      <c r="H56" s="11">
        <f t="shared" si="3"/>
        <v>2497.6199898794293</v>
      </c>
      <c r="I56" s="132">
        <f t="shared" si="4"/>
        <v>6.1216767444472383E-5</v>
      </c>
      <c r="J56" s="25"/>
      <c r="K56" s="25"/>
      <c r="L56" s="25"/>
      <c r="M56" s="25"/>
      <c r="N56" s="25"/>
      <c r="O56" s="25"/>
      <c r="P56" s="25"/>
      <c r="Q56" s="25"/>
      <c r="R56" s="25"/>
    </row>
    <row r="57" spans="1:18" ht="13" x14ac:dyDescent="0.3">
      <c r="A57" s="317">
        <v>43586</v>
      </c>
      <c r="B57" s="320">
        <v>36697206.219999999</v>
      </c>
      <c r="C57" s="321">
        <v>199.75500000000002</v>
      </c>
      <c r="D57" s="321">
        <v>9.68</v>
      </c>
      <c r="E57" s="320">
        <v>31</v>
      </c>
      <c r="F57" s="320">
        <v>1</v>
      </c>
      <c r="G57" s="320">
        <f t="shared" si="2"/>
        <v>36988361.643717013</v>
      </c>
      <c r="H57" s="11">
        <f t="shared" si="3"/>
        <v>291155.42371701449</v>
      </c>
      <c r="I57" s="132">
        <f t="shared" si="4"/>
        <v>7.9339942657088332E-3</v>
      </c>
      <c r="J57" s="25"/>
      <c r="K57" s="25"/>
      <c r="L57" s="25"/>
      <c r="M57" s="25"/>
      <c r="N57" s="25"/>
      <c r="O57" s="25"/>
      <c r="P57" s="25"/>
      <c r="Q57" s="25"/>
      <c r="R57" s="25"/>
    </row>
    <row r="58" spans="1:18" ht="13" x14ac:dyDescent="0.3">
      <c r="A58" s="317">
        <v>43617</v>
      </c>
      <c r="B58" s="320">
        <v>35140288.480000004</v>
      </c>
      <c r="C58" s="321">
        <v>78.965000000000003</v>
      </c>
      <c r="D58" s="321">
        <v>17.859999999999996</v>
      </c>
      <c r="E58" s="320">
        <v>30</v>
      </c>
      <c r="F58" s="320">
        <v>0</v>
      </c>
      <c r="G58" s="320">
        <f t="shared" si="2"/>
        <v>36457410.67077928</v>
      </c>
      <c r="H58" s="11">
        <f t="shared" si="3"/>
        <v>1317122.1907792762</v>
      </c>
      <c r="I58" s="132">
        <f t="shared" si="4"/>
        <v>3.748182635236226E-2</v>
      </c>
      <c r="J58" s="25"/>
      <c r="K58" s="25"/>
      <c r="L58" s="25"/>
      <c r="M58" s="25"/>
      <c r="N58" s="25"/>
      <c r="O58" s="25"/>
      <c r="P58" s="25"/>
      <c r="Q58" s="25"/>
      <c r="R58" s="25"/>
    </row>
    <row r="59" spans="1:18" ht="13" x14ac:dyDescent="0.3">
      <c r="A59" s="317">
        <v>43647</v>
      </c>
      <c r="B59" s="320">
        <v>42388534.140000001</v>
      </c>
      <c r="C59" s="321">
        <v>22.305</v>
      </c>
      <c r="D59" s="321">
        <v>63.589999999999996</v>
      </c>
      <c r="E59" s="320">
        <v>31</v>
      </c>
      <c r="F59" s="320">
        <v>0</v>
      </c>
      <c r="G59" s="320">
        <f t="shared" si="2"/>
        <v>41087589.394035466</v>
      </c>
      <c r="H59" s="11">
        <f t="shared" si="3"/>
        <v>-1300944.7459645346</v>
      </c>
      <c r="I59" s="132">
        <f t="shared" si="4"/>
        <v>3.0690958589598791E-2</v>
      </c>
      <c r="J59" s="25"/>
      <c r="K59" s="25"/>
      <c r="L59" s="25"/>
      <c r="M59" s="25"/>
      <c r="N59" s="25"/>
      <c r="O59" s="25"/>
      <c r="P59" s="25"/>
      <c r="Q59" s="25"/>
      <c r="R59" s="25"/>
    </row>
    <row r="60" spans="1:18" ht="13" x14ac:dyDescent="0.3">
      <c r="A60" s="317">
        <v>43678</v>
      </c>
      <c r="B60" s="320">
        <v>37599279.030000001</v>
      </c>
      <c r="C60" s="321">
        <v>34.94</v>
      </c>
      <c r="D60" s="321">
        <v>40.075000000000003</v>
      </c>
      <c r="E60" s="320">
        <v>31</v>
      </c>
      <c r="F60" s="320">
        <v>0</v>
      </c>
      <c r="G60" s="320">
        <f t="shared" si="2"/>
        <v>38787474.951428317</v>
      </c>
      <c r="H60" s="11">
        <f t="shared" si="3"/>
        <v>1188195.9214283153</v>
      </c>
      <c r="I60" s="132">
        <f t="shared" si="4"/>
        <v>3.1601561308669465E-2</v>
      </c>
      <c r="J60" s="25"/>
      <c r="K60" s="25"/>
      <c r="L60" s="25"/>
      <c r="M60" s="25"/>
      <c r="N60" s="25"/>
      <c r="O60" s="25"/>
      <c r="P60" s="25"/>
      <c r="Q60" s="25"/>
      <c r="R60" s="25"/>
    </row>
    <row r="61" spans="1:18" ht="13" x14ac:dyDescent="0.3">
      <c r="A61" s="317">
        <v>43709</v>
      </c>
      <c r="B61" s="320">
        <v>33915684.770000003</v>
      </c>
      <c r="C61" s="321">
        <v>139.505</v>
      </c>
      <c r="D61" s="321">
        <v>15.985000000000003</v>
      </c>
      <c r="E61" s="320">
        <v>30</v>
      </c>
      <c r="F61" s="320">
        <v>1</v>
      </c>
      <c r="G61" s="320">
        <f t="shared" si="2"/>
        <v>35496719.575176209</v>
      </c>
      <c r="H61" s="11">
        <f t="shared" si="3"/>
        <v>1581034.8051762059</v>
      </c>
      <c r="I61" s="132">
        <f t="shared" si="4"/>
        <v>4.6616626375024707E-2</v>
      </c>
      <c r="J61" s="25"/>
      <c r="K61" s="25"/>
      <c r="L61" s="25"/>
      <c r="M61" s="25"/>
      <c r="N61" s="25"/>
      <c r="O61" s="25"/>
      <c r="P61" s="25"/>
      <c r="Q61" s="25"/>
      <c r="R61" s="25"/>
    </row>
    <row r="62" spans="1:18" ht="13" x14ac:dyDescent="0.3">
      <c r="A62" s="317">
        <v>43739</v>
      </c>
      <c r="B62" s="320">
        <v>37837875.810000002</v>
      </c>
      <c r="C62" s="321">
        <v>338.37</v>
      </c>
      <c r="D62" s="321">
        <v>0.32</v>
      </c>
      <c r="E62" s="320">
        <v>31</v>
      </c>
      <c r="F62" s="320">
        <v>1</v>
      </c>
      <c r="G62" s="320">
        <f t="shared" si="2"/>
        <v>39003199.621422663</v>
      </c>
      <c r="H62" s="11">
        <f t="shared" si="3"/>
        <v>1165323.8114226609</v>
      </c>
      <c r="I62" s="132">
        <f t="shared" si="4"/>
        <v>3.0797812680453979E-2</v>
      </c>
      <c r="J62" s="25"/>
      <c r="K62" s="25"/>
      <c r="L62" s="25"/>
      <c r="M62" s="25"/>
      <c r="N62" s="25"/>
      <c r="O62" s="25"/>
      <c r="P62" s="25"/>
      <c r="Q62" s="25"/>
      <c r="R62" s="25"/>
    </row>
    <row r="63" spans="1:18" ht="13" x14ac:dyDescent="0.3">
      <c r="A63" s="317">
        <v>43770</v>
      </c>
      <c r="B63" s="320">
        <v>45382224.899999999</v>
      </c>
      <c r="C63" s="321">
        <v>568.69500000000005</v>
      </c>
      <c r="D63" s="321">
        <v>0</v>
      </c>
      <c r="E63" s="320">
        <v>30</v>
      </c>
      <c r="F63" s="320">
        <v>1</v>
      </c>
      <c r="G63" s="320">
        <f t="shared" si="2"/>
        <v>43159604.915817671</v>
      </c>
      <c r="H63" s="11">
        <f t="shared" si="3"/>
        <v>-2222619.984182328</v>
      </c>
      <c r="I63" s="132">
        <f t="shared" si="4"/>
        <v>4.8975562328199738E-2</v>
      </c>
      <c r="J63" s="25"/>
      <c r="K63" s="25"/>
      <c r="L63" s="25"/>
      <c r="M63" s="25"/>
      <c r="N63" s="25"/>
      <c r="O63" s="25"/>
      <c r="P63" s="25"/>
      <c r="Q63" s="25"/>
      <c r="R63" s="25"/>
    </row>
    <row r="64" spans="1:18" ht="13" x14ac:dyDescent="0.3">
      <c r="A64" s="317">
        <v>43800</v>
      </c>
      <c r="B64" s="320">
        <v>50013577.5</v>
      </c>
      <c r="C64" s="321">
        <v>790.04000000000008</v>
      </c>
      <c r="D64" s="321">
        <v>0</v>
      </c>
      <c r="E64" s="320">
        <v>31</v>
      </c>
      <c r="F64" s="320">
        <v>0</v>
      </c>
      <c r="G64" s="320">
        <f t="shared" si="2"/>
        <v>50959337.918607794</v>
      </c>
      <c r="H64" s="11">
        <f t="shared" si="3"/>
        <v>945760.41860779375</v>
      </c>
      <c r="I64" s="132">
        <f t="shared" si="4"/>
        <v>1.8910073341739924E-2</v>
      </c>
      <c r="J64" s="25"/>
      <c r="K64" s="25"/>
      <c r="L64" s="25"/>
      <c r="M64" s="25"/>
      <c r="N64" s="25"/>
      <c r="O64" s="25"/>
      <c r="P64" s="25"/>
      <c r="Q64" s="25"/>
      <c r="R64" s="25"/>
    </row>
    <row r="65" spans="1:12" x14ac:dyDescent="0.25">
      <c r="H65" s="11">
        <f>+SUM(H5:H64)</f>
        <v>-11635252.229890838</v>
      </c>
      <c r="I65" s="273">
        <f>AVERAGE(I5:I64)</f>
        <v>3.730702785442213E-2</v>
      </c>
      <c r="J65" s="210"/>
    </row>
    <row r="67" spans="1:12" x14ac:dyDescent="0.25">
      <c r="A67" t="s">
        <v>215</v>
      </c>
      <c r="B67" t="s">
        <v>100</v>
      </c>
      <c r="C67" s="335">
        <f>+'Purchased Power Model'!C139</f>
        <v>935.45499999999993</v>
      </c>
      <c r="D67" s="335">
        <f>+'Purchased Power Model'!D139</f>
        <v>0</v>
      </c>
      <c r="E67" s="335"/>
    </row>
    <row r="68" spans="1:12" x14ac:dyDescent="0.25">
      <c r="B68" t="s">
        <v>101</v>
      </c>
      <c r="C68" s="335">
        <f>+'Purchased Power Model'!C140</f>
        <v>814.8599999999999</v>
      </c>
      <c r="D68" s="335">
        <f>+'Purchased Power Model'!D140</f>
        <v>0</v>
      </c>
      <c r="E68" s="335"/>
    </row>
    <row r="69" spans="1:12" x14ac:dyDescent="0.25">
      <c r="B69" t="s">
        <v>102</v>
      </c>
      <c r="C69" s="335">
        <f>+'Purchased Power Model'!C141</f>
        <v>708.64499999999998</v>
      </c>
      <c r="D69" s="335">
        <f>+'Purchased Power Model'!D141</f>
        <v>6.9999999999999993E-2</v>
      </c>
      <c r="E69" s="335"/>
      <c r="J69" t="s">
        <v>218</v>
      </c>
      <c r="K69" t="s">
        <v>219</v>
      </c>
      <c r="L69" t="s">
        <v>220</v>
      </c>
    </row>
    <row r="70" spans="1:12" x14ac:dyDescent="0.25">
      <c r="B70" t="s">
        <v>103</v>
      </c>
      <c r="C70" s="335">
        <f>+'Purchased Power Model'!C142</f>
        <v>461.17500000000001</v>
      </c>
      <c r="D70" s="335">
        <f>+'Purchased Power Model'!D142</f>
        <v>0.01</v>
      </c>
      <c r="E70" s="335"/>
      <c r="F70">
        <v>2015</v>
      </c>
      <c r="G70" s="274">
        <f>+SUM(G5:G16)</f>
        <v>512910056.40893781</v>
      </c>
      <c r="J70" s="175">
        <f>+G70/'Rate Class Energy Model'!F16</f>
        <v>492335277.89869791</v>
      </c>
      <c r="K70" s="175">
        <f>+'Rate Class Energy Model'!G16</f>
        <v>516728999.29000038</v>
      </c>
      <c r="L70" s="289">
        <f>+J70-K70</f>
        <v>-24393721.391302466</v>
      </c>
    </row>
    <row r="71" spans="1:12" x14ac:dyDescent="0.25">
      <c r="B71" t="s">
        <v>104</v>
      </c>
      <c r="C71" s="335">
        <f>+'Purchased Power Model'!C143</f>
        <v>199.75500000000002</v>
      </c>
      <c r="D71" s="335">
        <f>+'Purchased Power Model'!D143</f>
        <v>9.68</v>
      </c>
      <c r="E71" s="335"/>
      <c r="F71">
        <v>2016</v>
      </c>
      <c r="G71" s="274">
        <f>+SUM(G17:G28)</f>
        <v>513771070.57435787</v>
      </c>
      <c r="H71" t="s">
        <v>217</v>
      </c>
      <c r="J71" s="175">
        <f>+G71/'Rate Class Energy Model'!F17</f>
        <v>493358896.72325963</v>
      </c>
      <c r="K71" s="175">
        <f>+'Rate Class Energy Model'!G17</f>
        <v>488765497.17000061</v>
      </c>
      <c r="L71" s="289">
        <f t="shared" ref="L71:L74" si="5">+J71-K71</f>
        <v>4593399.5532590151</v>
      </c>
    </row>
    <row r="72" spans="1:12" x14ac:dyDescent="0.25">
      <c r="B72" t="s">
        <v>105</v>
      </c>
      <c r="C72" s="335">
        <f>+'Purchased Power Model'!C144</f>
        <v>78.965000000000003</v>
      </c>
      <c r="D72" s="335">
        <f>+'Purchased Power Model'!D144</f>
        <v>17.859999999999996</v>
      </c>
      <c r="E72" s="335"/>
      <c r="F72">
        <v>2017</v>
      </c>
      <c r="G72" s="274">
        <f>+SUM(G29:G40)</f>
        <v>512910056.40893781</v>
      </c>
      <c r="J72" s="175">
        <f>+G72/'Rate Class Energy Model'!F18</f>
        <v>494163942.95960683</v>
      </c>
      <c r="K72" s="175">
        <f>+'Rate Class Energy Model'!G18</f>
        <v>482398546.16000038</v>
      </c>
      <c r="L72" s="289">
        <f t="shared" si="5"/>
        <v>11765396.799606442</v>
      </c>
    </row>
    <row r="73" spans="1:12" x14ac:dyDescent="0.25">
      <c r="B73" t="s">
        <v>106</v>
      </c>
      <c r="C73" s="335">
        <f>+'Purchased Power Model'!C145</f>
        <v>22.305</v>
      </c>
      <c r="D73" s="335">
        <f>+'Purchased Power Model'!D145</f>
        <v>63.589999999999996</v>
      </c>
      <c r="E73" s="335"/>
      <c r="F73">
        <v>2018</v>
      </c>
      <c r="G73" s="274">
        <f>+SUM(G41:G52)</f>
        <v>512910056.40893781</v>
      </c>
      <c r="J73" s="175">
        <f>+G73/'Rate Class Energy Model'!F19</f>
        <v>495070312.25855172</v>
      </c>
      <c r="K73" s="175">
        <f>+'Rate Class Energy Model'!G19</f>
        <v>496980971.10999972</v>
      </c>
      <c r="L73" s="289">
        <f t="shared" si="5"/>
        <v>-1910658.8514479995</v>
      </c>
    </row>
    <row r="74" spans="1:12" x14ac:dyDescent="0.25">
      <c r="B74" t="s">
        <v>107</v>
      </c>
      <c r="C74" s="335">
        <f>+'Purchased Power Model'!C146</f>
        <v>34.94</v>
      </c>
      <c r="D74" s="335">
        <f>+'Purchased Power Model'!D146</f>
        <v>40.075000000000003</v>
      </c>
      <c r="E74" s="335"/>
      <c r="F74">
        <v>2019</v>
      </c>
      <c r="G74" s="274">
        <f>+SUM(G53:G64)</f>
        <v>512910056.40893781</v>
      </c>
      <c r="J74" s="175">
        <f>+G74/'Rate Class Energy Model'!F20</f>
        <v>494568305.693533</v>
      </c>
      <c r="K74" s="175">
        <f>+'Rate Class Energy Model'!G20</f>
        <v>495761810.37999994</v>
      </c>
      <c r="L74" s="289">
        <f t="shared" si="5"/>
        <v>-1193504.6864669323</v>
      </c>
    </row>
    <row r="75" spans="1:12" x14ac:dyDescent="0.25">
      <c r="B75" t="s">
        <v>108</v>
      </c>
      <c r="C75" s="335">
        <f>+'Purchased Power Model'!C147</f>
        <v>139.505</v>
      </c>
      <c r="D75" s="335">
        <f>+'Purchased Power Model'!D147</f>
        <v>15.985000000000003</v>
      </c>
      <c r="E75" s="335"/>
    </row>
    <row r="76" spans="1:12" ht="13" x14ac:dyDescent="0.3">
      <c r="B76" t="s">
        <v>109</v>
      </c>
      <c r="C76" s="335">
        <f>+'Purchased Power Model'!C148</f>
        <v>338.37</v>
      </c>
      <c r="D76" s="335">
        <f>+'Purchased Power Model'!D148</f>
        <v>0.32</v>
      </c>
      <c r="E76" s="335"/>
      <c r="F76" s="13" t="s">
        <v>216</v>
      </c>
      <c r="G76" s="13"/>
      <c r="H76" s="13"/>
    </row>
    <row r="77" spans="1:12" x14ac:dyDescent="0.25">
      <c r="B77" t="s">
        <v>110</v>
      </c>
      <c r="C77" s="335">
        <f>+'Purchased Power Model'!C149</f>
        <v>568.69500000000005</v>
      </c>
      <c r="D77" s="335">
        <f>+'Purchased Power Model'!D149</f>
        <v>0</v>
      </c>
      <c r="E77" s="335"/>
    </row>
    <row r="78" spans="1:12" x14ac:dyDescent="0.25">
      <c r="B78" t="s">
        <v>111</v>
      </c>
      <c r="C78" s="335">
        <f>+'Purchased Power Model'!C150</f>
        <v>790.04000000000008</v>
      </c>
      <c r="D78" s="335">
        <f>+'Purchased Power Model'!D150</f>
        <v>0</v>
      </c>
      <c r="E78" s="335"/>
    </row>
  </sheetData>
  <phoneticPr fontId="6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123"/>
  <sheetViews>
    <sheetView workbookViewId="0">
      <selection activeCell="G33" sqref="G33"/>
    </sheetView>
  </sheetViews>
  <sheetFormatPr defaultRowHeight="12.5" x14ac:dyDescent="0.25"/>
  <cols>
    <col min="1" max="1" width="30.1796875" customWidth="1"/>
    <col min="2" max="5" width="18" style="1" customWidth="1"/>
    <col min="6" max="6" width="17.54296875" style="1" customWidth="1"/>
    <col min="7" max="7" width="15.7265625" style="6" customWidth="1"/>
    <col min="8" max="8" width="15" style="6" customWidth="1"/>
    <col min="9" max="10" width="14.1796875" style="6" bestFit="1" customWidth="1"/>
    <col min="11" max="11" width="14.7265625" style="6" customWidth="1"/>
    <col min="12" max="12" width="11.1796875" style="6" customWidth="1"/>
    <col min="13" max="13" width="11.26953125" style="6" customWidth="1"/>
    <col min="14" max="14" width="11.54296875" style="6" customWidth="1"/>
    <col min="15" max="15" width="13.81640625" style="6" bestFit="1" customWidth="1"/>
    <col min="16" max="16" width="11.1796875" style="6" customWidth="1"/>
    <col min="17" max="17" width="12" style="6" bestFit="1" customWidth="1"/>
    <col min="18" max="18" width="15" style="6" bestFit="1" customWidth="1"/>
    <col min="19" max="19" width="14" style="6" bestFit="1" customWidth="1"/>
    <col min="20" max="20" width="15" style="6" bestFit="1" customWidth="1"/>
    <col min="21" max="21" width="14" bestFit="1" customWidth="1"/>
    <col min="22" max="22" width="12.81640625" bestFit="1" customWidth="1"/>
    <col min="23" max="23" width="11.26953125" bestFit="1" customWidth="1"/>
    <col min="24" max="24" width="10.26953125" bestFit="1" customWidth="1"/>
    <col min="25" max="25" width="15" bestFit="1" customWidth="1"/>
  </cols>
  <sheetData>
    <row r="1" spans="1:25" x14ac:dyDescent="0.25">
      <c r="Q1" s="353"/>
      <c r="R1" s="354" t="s">
        <v>221</v>
      </c>
      <c r="S1" s="354"/>
      <c r="T1" s="354"/>
      <c r="U1" s="355"/>
      <c r="V1" s="355"/>
      <c r="W1" s="355"/>
      <c r="X1" s="355"/>
      <c r="Y1" s="356"/>
    </row>
    <row r="2" spans="1:25" ht="42" customHeight="1" x14ac:dyDescent="0.25">
      <c r="B2" s="2" t="s">
        <v>7</v>
      </c>
      <c r="C2" s="2" t="s">
        <v>8</v>
      </c>
      <c r="D2" s="2" t="s">
        <v>39</v>
      </c>
      <c r="E2" s="2" t="s">
        <v>9</v>
      </c>
      <c r="F2" s="2" t="s">
        <v>1</v>
      </c>
      <c r="G2" s="7" t="s">
        <v>3</v>
      </c>
      <c r="H2" s="115" t="s">
        <v>2</v>
      </c>
      <c r="I2" s="212" t="s">
        <v>55</v>
      </c>
      <c r="J2" s="212" t="s">
        <v>144</v>
      </c>
      <c r="K2" s="212" t="s">
        <v>145</v>
      </c>
      <c r="L2" s="118" t="s">
        <v>142</v>
      </c>
      <c r="M2" s="118" t="s">
        <v>143</v>
      </c>
      <c r="N2" s="118" t="s">
        <v>146</v>
      </c>
      <c r="Q2" s="357"/>
      <c r="R2" s="233" t="s">
        <v>2</v>
      </c>
      <c r="S2" s="358" t="s">
        <v>55</v>
      </c>
      <c r="T2" s="358" t="s">
        <v>144</v>
      </c>
      <c r="U2" s="358" t="s">
        <v>145</v>
      </c>
      <c r="V2" s="359" t="s">
        <v>142</v>
      </c>
      <c r="W2" s="359" t="s">
        <v>143</v>
      </c>
      <c r="X2" s="359" t="s">
        <v>146</v>
      </c>
      <c r="Y2" s="360" t="s">
        <v>10</v>
      </c>
    </row>
    <row r="3" spans="1:25" x14ac:dyDescent="0.25">
      <c r="Q3" s="357"/>
      <c r="R3" s="185"/>
      <c r="S3" s="185"/>
      <c r="T3" s="185"/>
      <c r="U3" s="361"/>
      <c r="V3" s="361"/>
      <c r="W3" s="361"/>
      <c r="X3" s="361"/>
      <c r="Y3" s="362"/>
    </row>
    <row r="4" spans="1:25" x14ac:dyDescent="0.25">
      <c r="A4" s="12"/>
      <c r="B4" s="34" t="s">
        <v>58</v>
      </c>
      <c r="Q4" s="357"/>
      <c r="R4" s="185"/>
      <c r="S4" s="185"/>
      <c r="T4" s="185"/>
      <c r="U4" s="361"/>
      <c r="V4" s="361"/>
      <c r="W4" s="361"/>
      <c r="X4" s="361"/>
      <c r="Y4" s="362"/>
    </row>
    <row r="5" spans="1:25" x14ac:dyDescent="0.25">
      <c r="B5"/>
      <c r="C5"/>
      <c r="D5"/>
      <c r="E5"/>
      <c r="F5"/>
      <c r="G5"/>
      <c r="H5"/>
      <c r="I5" s="42"/>
      <c r="J5"/>
      <c r="K5" s="54"/>
      <c r="L5"/>
      <c r="M5"/>
      <c r="N5"/>
      <c r="O5"/>
      <c r="P5"/>
      <c r="Q5" s="363"/>
      <c r="R5" s="361"/>
      <c r="S5" s="361"/>
      <c r="T5" s="361"/>
      <c r="U5" s="361"/>
      <c r="V5" s="361"/>
      <c r="W5" s="361"/>
      <c r="X5" s="361"/>
      <c r="Y5" s="362"/>
    </row>
    <row r="6" spans="1:25" x14ac:dyDescent="0.25">
      <c r="A6">
        <f>'Purchased Power Model'!A169</f>
        <v>0</v>
      </c>
      <c r="B6" s="6">
        <f>'Purchased Power Model'!B169</f>
        <v>0</v>
      </c>
      <c r="C6" s="6">
        <f>'Purchased Power Model'!H169</f>
        <v>0</v>
      </c>
      <c r="D6" s="32">
        <f>C6-B6</f>
        <v>0</v>
      </c>
      <c r="E6" s="5" t="e">
        <f>D6/B6</f>
        <v>#DIV/0!</v>
      </c>
      <c r="F6" s="18">
        <f t="shared" ref="F6:F11" si="0">1 +(B6-G6)/G6</f>
        <v>0</v>
      </c>
      <c r="G6" s="21">
        <f t="shared" ref="G6:G11" si="1">SUM(H6:N6)</f>
        <v>577056179.81000006</v>
      </c>
      <c r="H6" s="21">
        <v>213809354.78</v>
      </c>
      <c r="I6" s="21">
        <v>91284157.510000005</v>
      </c>
      <c r="J6" s="21">
        <v>210628244.74000001</v>
      </c>
      <c r="K6" s="21">
        <v>57056735.82</v>
      </c>
      <c r="L6" s="21">
        <v>3289523.16</v>
      </c>
      <c r="M6" s="21">
        <v>616682.23</v>
      </c>
      <c r="N6" s="156">
        <v>371481.57</v>
      </c>
      <c r="O6" s="6">
        <f>+I6+J6+K6</f>
        <v>358969138.06999999</v>
      </c>
      <c r="P6"/>
      <c r="Q6" s="364"/>
      <c r="R6" s="365"/>
      <c r="S6" s="122"/>
      <c r="T6" s="122"/>
      <c r="U6" s="361"/>
      <c r="V6" s="361"/>
      <c r="W6" s="361"/>
      <c r="X6" s="361"/>
      <c r="Y6" s="362"/>
    </row>
    <row r="7" spans="1:25" x14ac:dyDescent="0.25">
      <c r="A7">
        <f>'Purchased Power Model'!A170</f>
        <v>0</v>
      </c>
      <c r="B7" s="6">
        <f>'Purchased Power Model'!B170</f>
        <v>0</v>
      </c>
      <c r="C7" s="6">
        <f>'Purchased Power Model'!H170</f>
        <v>0</v>
      </c>
      <c r="D7" s="32">
        <f>C7-B7</f>
        <v>0</v>
      </c>
      <c r="E7" s="5" t="e">
        <f>D7/B7</f>
        <v>#DIV/0!</v>
      </c>
      <c r="F7" s="18">
        <f t="shared" si="0"/>
        <v>0</v>
      </c>
      <c r="G7" s="21">
        <f t="shared" si="1"/>
        <v>560321499.11000001</v>
      </c>
      <c r="H7" s="21">
        <v>207199584.38999999</v>
      </c>
      <c r="I7" s="21">
        <v>90175437.709999993</v>
      </c>
      <c r="J7" s="21">
        <v>207117427.59</v>
      </c>
      <c r="K7" s="21">
        <v>51603011.810000002</v>
      </c>
      <c r="L7" s="21">
        <v>3278339.58</v>
      </c>
      <c r="M7" s="21">
        <v>577962.65</v>
      </c>
      <c r="N7" s="156">
        <v>369735.38</v>
      </c>
      <c r="O7" s="6">
        <f>+I7+J7+K7</f>
        <v>348895877.11000001</v>
      </c>
      <c r="P7"/>
      <c r="Q7" s="364"/>
      <c r="R7" s="365"/>
      <c r="S7" s="185"/>
      <c r="T7" s="185"/>
      <c r="U7" s="361"/>
      <c r="V7" s="361"/>
      <c r="W7" s="361"/>
      <c r="X7" s="361"/>
      <c r="Y7" s="362"/>
    </row>
    <row r="8" spans="1:25" x14ac:dyDescent="0.25">
      <c r="A8">
        <f>'Purchased Power Model'!A171</f>
        <v>0</v>
      </c>
      <c r="B8" s="6">
        <f>'Purchased Power Model'!B171</f>
        <v>0</v>
      </c>
      <c r="C8" s="6">
        <f>'Purchased Power Model'!H171</f>
        <v>0</v>
      </c>
      <c r="D8" s="32">
        <f>C8-B8</f>
        <v>0</v>
      </c>
      <c r="E8" s="5" t="e">
        <f>D8/B8</f>
        <v>#DIV/0!</v>
      </c>
      <c r="F8" s="18">
        <f t="shared" si="0"/>
        <v>0</v>
      </c>
      <c r="G8" s="21">
        <f t="shared" si="1"/>
        <v>570440203.63</v>
      </c>
      <c r="H8" s="21">
        <v>213131700.81999999</v>
      </c>
      <c r="I8" s="21">
        <v>89681002.129999995</v>
      </c>
      <c r="J8" s="21">
        <v>213456497</v>
      </c>
      <c r="K8" s="21">
        <v>49926707.789999999</v>
      </c>
      <c r="L8" s="21">
        <v>3306185.5</v>
      </c>
      <c r="M8" s="21">
        <v>568495.63</v>
      </c>
      <c r="N8" s="156">
        <v>369614.76</v>
      </c>
      <c r="O8" s="6">
        <f>+I8+J8+K8</f>
        <v>353064206.92000002</v>
      </c>
      <c r="P8"/>
      <c r="Q8" s="364"/>
      <c r="R8" s="365"/>
      <c r="S8" s="185"/>
      <c r="T8" s="185"/>
      <c r="U8" s="361"/>
      <c r="V8" s="361"/>
      <c r="W8" s="361"/>
      <c r="X8" s="361"/>
      <c r="Y8" s="362"/>
    </row>
    <row r="9" spans="1:25" x14ac:dyDescent="0.25">
      <c r="A9">
        <f>'Purchased Power Model'!A172</f>
        <v>0</v>
      </c>
      <c r="B9" s="6">
        <f>'Purchased Power Model'!B172</f>
        <v>0</v>
      </c>
      <c r="C9" s="6">
        <f>'Purchased Power Model'!H172</f>
        <v>0</v>
      </c>
      <c r="D9" s="32">
        <f>C9-B9</f>
        <v>0</v>
      </c>
      <c r="E9" s="5" t="e">
        <f>D9/B9</f>
        <v>#DIV/0!</v>
      </c>
      <c r="F9" s="18">
        <f t="shared" si="0"/>
        <v>0</v>
      </c>
      <c r="G9" s="21">
        <f t="shared" si="1"/>
        <v>567021540.09000003</v>
      </c>
      <c r="H9" s="21">
        <v>213813391.87</v>
      </c>
      <c r="I9" s="21">
        <v>88723630.799999997</v>
      </c>
      <c r="J9" s="21">
        <v>215710011.33000001</v>
      </c>
      <c r="K9" s="21">
        <v>44528103.780000001</v>
      </c>
      <c r="L9" s="21">
        <v>3327500.91</v>
      </c>
      <c r="M9" s="21">
        <v>567633.18999999994</v>
      </c>
      <c r="N9" s="156">
        <v>351268.21</v>
      </c>
      <c r="O9" s="6">
        <f>+I9+J9+K9</f>
        <v>348961745.90999997</v>
      </c>
      <c r="P9"/>
      <c r="Q9" s="364"/>
      <c r="R9" s="365"/>
      <c r="S9" s="185"/>
      <c r="T9" s="185"/>
      <c r="U9" s="361"/>
      <c r="V9" s="361"/>
      <c r="W9" s="361"/>
      <c r="X9" s="361"/>
      <c r="Y9" s="362"/>
    </row>
    <row r="10" spans="1:25" x14ac:dyDescent="0.25">
      <c r="A10">
        <v>2009</v>
      </c>
      <c r="B10" s="6">
        <f>'Purchased Power Model'!B173</f>
        <v>580320683.07692301</v>
      </c>
      <c r="C10" s="6">
        <f>'Purchased Power Model'!H173</f>
        <v>0</v>
      </c>
      <c r="D10" s="32">
        <f t="shared" ref="D10:D20" si="2">C10-B10</f>
        <v>-580320683.07692301</v>
      </c>
      <c r="E10" s="5">
        <f t="shared" ref="E10:E20" si="3">D10/B10</f>
        <v>-1</v>
      </c>
      <c r="F10" s="18">
        <f t="shared" si="0"/>
        <v>1.0496297315850773</v>
      </c>
      <c r="G10" s="21">
        <f t="shared" si="1"/>
        <v>552881331.0200001</v>
      </c>
      <c r="H10" s="21">
        <v>213412761.69999999</v>
      </c>
      <c r="I10" s="21">
        <v>87404596.400000006</v>
      </c>
      <c r="J10" s="21">
        <v>210054005.56</v>
      </c>
      <c r="K10" s="21">
        <v>37817391.770000003</v>
      </c>
      <c r="L10" s="21">
        <v>3322758.85</v>
      </c>
      <c r="M10" s="21">
        <v>557945.86</v>
      </c>
      <c r="N10" s="156">
        <v>311870.88</v>
      </c>
      <c r="O10" s="6">
        <f>+I10+J10+K10</f>
        <v>335275993.73000002</v>
      </c>
      <c r="P10"/>
      <c r="Q10" s="364"/>
      <c r="R10" s="365"/>
      <c r="S10" s="185"/>
      <c r="T10" s="185"/>
      <c r="U10" s="361"/>
      <c r="V10" s="361"/>
      <c r="W10" s="361"/>
      <c r="X10" s="361"/>
      <c r="Y10" s="362"/>
    </row>
    <row r="11" spans="1:25" x14ac:dyDescent="0.25">
      <c r="A11">
        <f>'Purchased Power Model'!A174</f>
        <v>2010</v>
      </c>
      <c r="B11" s="6">
        <f>'Purchased Power Model'!B174</f>
        <v>592105953.84615386</v>
      </c>
      <c r="C11" s="6">
        <f>'Purchased Power Model'!H174</f>
        <v>0</v>
      </c>
      <c r="D11" s="32">
        <f t="shared" si="2"/>
        <v>-592105953.84615386</v>
      </c>
      <c r="E11" s="5">
        <f t="shared" si="3"/>
        <v>-1</v>
      </c>
      <c r="F11" s="18">
        <f t="shared" si="0"/>
        <v>1.04482812032207</v>
      </c>
      <c r="G11" s="21">
        <f t="shared" si="1"/>
        <v>566701778.33999741</v>
      </c>
      <c r="H11" s="21">
        <v>206535117.74999696</v>
      </c>
      <c r="I11" s="21">
        <v>85042099.07000047</v>
      </c>
      <c r="J11" s="21">
        <v>230037736.63</v>
      </c>
      <c r="K11" s="21">
        <v>41028103.810000002</v>
      </c>
      <c r="L11" s="21">
        <v>3324190.13</v>
      </c>
      <c r="M11" s="21">
        <v>569407.56999999995</v>
      </c>
      <c r="N11" s="156">
        <v>165123.38</v>
      </c>
      <c r="O11" s="6">
        <f t="shared" ref="O11:O20" si="4">+I11+J11+K11</f>
        <v>356107939.51000047</v>
      </c>
      <c r="P11"/>
      <c r="Q11" s="366"/>
      <c r="R11" s="367"/>
      <c r="S11" s="185"/>
      <c r="T11" s="185"/>
      <c r="U11" s="361"/>
      <c r="V11" s="361"/>
      <c r="W11" s="361"/>
      <c r="X11" s="361"/>
      <c r="Y11" s="362"/>
    </row>
    <row r="12" spans="1:25" x14ac:dyDescent="0.25">
      <c r="A12">
        <f>'Purchased Power Model'!A175</f>
        <v>2011</v>
      </c>
      <c r="B12" s="6">
        <f>'Purchased Power Model'!B175</f>
        <v>593738607.69230771</v>
      </c>
      <c r="C12" s="6">
        <f>'Purchased Power Model'!H175</f>
        <v>0</v>
      </c>
      <c r="D12" s="32">
        <f t="shared" si="2"/>
        <v>-593738607.69230771</v>
      </c>
      <c r="E12" s="5">
        <f t="shared" si="3"/>
        <v>-1</v>
      </c>
      <c r="F12" s="18">
        <f t="shared" ref="F12:F20" si="5">1 +(B12-G12)/G12</f>
        <v>1.0510409500200104</v>
      </c>
      <c r="G12" s="21">
        <f t="shared" ref="G12:G20" si="6">SUM(H12:N12)</f>
        <v>564905304.29000294</v>
      </c>
      <c r="H12" s="21">
        <v>207358082.23000044</v>
      </c>
      <c r="I12" s="21">
        <v>85023143.980002552</v>
      </c>
      <c r="J12" s="21">
        <v>231667366.05000007</v>
      </c>
      <c r="K12" s="21">
        <v>37086851.810000002</v>
      </c>
      <c r="L12" s="21">
        <v>3204122.67</v>
      </c>
      <c r="M12" s="21">
        <v>481664.12000000005</v>
      </c>
      <c r="N12" s="156">
        <v>84073.43</v>
      </c>
      <c r="O12" s="6">
        <f t="shared" si="4"/>
        <v>353777361.8400026</v>
      </c>
      <c r="P12"/>
      <c r="Q12" s="366"/>
      <c r="R12" s="367"/>
      <c r="S12" s="185"/>
      <c r="T12" s="185"/>
      <c r="U12" s="361"/>
      <c r="V12" s="361"/>
      <c r="W12" s="361"/>
      <c r="X12" s="361"/>
      <c r="Y12" s="362"/>
    </row>
    <row r="13" spans="1:25" x14ac:dyDescent="0.25">
      <c r="A13">
        <f>'Purchased Power Model'!A176</f>
        <v>2012</v>
      </c>
      <c r="B13" s="6">
        <f>'Purchased Power Model'!B176</f>
        <v>572612692.67601395</v>
      </c>
      <c r="C13" s="6">
        <f>'Purchased Power Model'!H176</f>
        <v>0</v>
      </c>
      <c r="D13" s="32">
        <f t="shared" si="2"/>
        <v>-572612692.67601395</v>
      </c>
      <c r="E13" s="5">
        <f t="shared" si="3"/>
        <v>-1</v>
      </c>
      <c r="F13" s="18">
        <f t="shared" si="5"/>
        <v>1.0442636909360064</v>
      </c>
      <c r="G13" s="21">
        <f t="shared" si="6"/>
        <v>548341092.05000055</v>
      </c>
      <c r="H13" s="21">
        <v>200614424.25000054</v>
      </c>
      <c r="I13" s="21">
        <v>84948670.560000002</v>
      </c>
      <c r="J13" s="21">
        <v>223688452.94999999</v>
      </c>
      <c r="K13" s="21">
        <v>35722771.82</v>
      </c>
      <c r="L13" s="21">
        <v>2790238.49</v>
      </c>
      <c r="M13" s="21">
        <v>487759.49</v>
      </c>
      <c r="N13" s="156">
        <v>88774.489999999976</v>
      </c>
      <c r="O13" s="6">
        <f t="shared" si="4"/>
        <v>344359895.32999998</v>
      </c>
      <c r="P13"/>
      <c r="Q13" s="366"/>
      <c r="R13" s="367"/>
      <c r="S13" s="185"/>
      <c r="T13" s="185"/>
      <c r="U13" s="361"/>
      <c r="V13" s="361"/>
      <c r="W13" s="361"/>
      <c r="X13" s="361"/>
      <c r="Y13" s="362"/>
    </row>
    <row r="14" spans="1:25" x14ac:dyDescent="0.25">
      <c r="A14">
        <f>'Purchased Power Model'!A177</f>
        <v>2013</v>
      </c>
      <c r="B14" s="6">
        <f>'Purchased Power Model'!B177</f>
        <v>573172084.77666664</v>
      </c>
      <c r="C14" s="6">
        <f>'Purchased Power Model'!H177</f>
        <v>0</v>
      </c>
      <c r="D14" s="32">
        <f t="shared" si="2"/>
        <v>-573172084.77666664</v>
      </c>
      <c r="E14" s="5">
        <f t="shared" si="3"/>
        <v>-1</v>
      </c>
      <c r="F14" s="18">
        <f t="shared" si="5"/>
        <v>1.045559047590467</v>
      </c>
      <c r="G14" s="21">
        <f t="shared" si="6"/>
        <v>548196762.3900007</v>
      </c>
      <c r="H14" s="21">
        <v>207806639.26000017</v>
      </c>
      <c r="I14" s="21">
        <v>85119330.710000545</v>
      </c>
      <c r="J14" s="21">
        <v>216614453.60999995</v>
      </c>
      <c r="K14" s="21">
        <v>35775035.789999999</v>
      </c>
      <c r="L14" s="21">
        <v>2348268.23</v>
      </c>
      <c r="M14" s="21">
        <v>443950.62000000069</v>
      </c>
      <c r="N14" s="156">
        <v>89084.169999999984</v>
      </c>
      <c r="O14" s="6">
        <f t="shared" si="4"/>
        <v>337508820.11000055</v>
      </c>
      <c r="P14"/>
      <c r="Q14" s="357"/>
      <c r="R14" s="185"/>
      <c r="S14" s="185"/>
      <c r="T14" s="185"/>
      <c r="U14" s="361"/>
      <c r="V14" s="361"/>
      <c r="W14" s="361"/>
      <c r="X14" s="361"/>
      <c r="Y14" s="362"/>
    </row>
    <row r="15" spans="1:25" x14ac:dyDescent="0.25">
      <c r="A15">
        <f>'Purchased Power Model'!A178</f>
        <v>2014</v>
      </c>
      <c r="B15" s="6">
        <f>+'Purchased Power Model'!B178</f>
        <v>561189731.7228204</v>
      </c>
      <c r="C15" s="21">
        <f>'Purchased Power Model'!H178</f>
        <v>0</v>
      </c>
      <c r="D15" s="32">
        <f t="shared" si="2"/>
        <v>-561189731.7228204</v>
      </c>
      <c r="E15" s="5">
        <f t="shared" si="3"/>
        <v>-1</v>
      </c>
      <c r="F15" s="18">
        <f t="shared" si="5"/>
        <v>1.0431364633798155</v>
      </c>
      <c r="G15" s="21">
        <f t="shared" si="6"/>
        <v>537983045.77000117</v>
      </c>
      <c r="H15" s="6">
        <v>205950079.75000036</v>
      </c>
      <c r="I15" s="6">
        <v>85369054.680000916</v>
      </c>
      <c r="J15" s="6">
        <v>217236187.44</v>
      </c>
      <c r="K15" s="6">
        <v>26926555.820000004</v>
      </c>
      <c r="L15" s="6">
        <v>2026565.8900000001</v>
      </c>
      <c r="M15" s="6">
        <v>423992.64000000048</v>
      </c>
      <c r="N15" s="156">
        <v>50609.549999999988</v>
      </c>
      <c r="O15" s="6">
        <f t="shared" si="4"/>
        <v>329531797.94000089</v>
      </c>
      <c r="P15"/>
      <c r="Q15" s="357"/>
      <c r="R15" s="185"/>
      <c r="S15" s="185"/>
      <c r="T15" s="185"/>
      <c r="U15" s="361"/>
      <c r="V15" s="361"/>
      <c r="W15" s="361"/>
      <c r="X15" s="361"/>
      <c r="Y15" s="362"/>
    </row>
    <row r="16" spans="1:25" x14ac:dyDescent="0.25">
      <c r="A16">
        <f>'Purchased Power Model'!A179</f>
        <v>2015</v>
      </c>
      <c r="B16" s="6">
        <f>+'Purchased Power Model'!B179</f>
        <v>538323195.74000001</v>
      </c>
      <c r="C16" s="21">
        <f>'Purchased Power Model'!H179</f>
        <v>514903442.02267593</v>
      </c>
      <c r="D16" s="32">
        <f t="shared" si="2"/>
        <v>-23419753.717324078</v>
      </c>
      <c r="E16" s="5">
        <f t="shared" si="3"/>
        <v>-4.3505005733833139E-2</v>
      </c>
      <c r="F16" s="18">
        <f t="shared" si="5"/>
        <v>1.0417901772102411</v>
      </c>
      <c r="G16" s="21">
        <f t="shared" si="6"/>
        <v>516728999.29000038</v>
      </c>
      <c r="H16" s="6">
        <v>196730100.79999995</v>
      </c>
      <c r="I16" s="6">
        <v>83568205.870000467</v>
      </c>
      <c r="J16" s="6">
        <v>216238874.38999999</v>
      </c>
      <c r="K16" s="6">
        <v>17738635.890000001</v>
      </c>
      <c r="L16" s="6">
        <v>2036368.7200000002</v>
      </c>
      <c r="M16" s="6">
        <v>373880.03000000049</v>
      </c>
      <c r="N16" s="156">
        <v>42933.59</v>
      </c>
      <c r="O16" s="6">
        <f t="shared" si="4"/>
        <v>317545716.15000045</v>
      </c>
      <c r="Q16" s="357"/>
      <c r="R16" s="368">
        <v>187442874.27547359</v>
      </c>
      <c r="S16" s="368">
        <v>79623121.437029213</v>
      </c>
      <c r="T16" s="368">
        <v>206030678.48250046</v>
      </c>
      <c r="U16" s="368">
        <v>16901231.094919842</v>
      </c>
      <c r="V16" s="368">
        <v>1940235.9090412627</v>
      </c>
      <c r="W16" s="368">
        <v>356229.91688824672</v>
      </c>
      <c r="X16" s="368">
        <v>40906.78284532619</v>
      </c>
      <c r="Y16" s="369">
        <f>+'Weather Normalized Historical'!J70</f>
        <v>492335277.89869791</v>
      </c>
    </row>
    <row r="17" spans="1:25" x14ac:dyDescent="0.25">
      <c r="A17">
        <f>'Purchased Power Model'!A180</f>
        <v>2016</v>
      </c>
      <c r="B17" s="6">
        <f>+'Purchased Power Model'!B180</f>
        <v>508987624.24000013</v>
      </c>
      <c r="C17" s="21">
        <f>'Purchased Power Model'!H180</f>
        <v>513927826.56305665</v>
      </c>
      <c r="D17" s="32">
        <f t="shared" si="2"/>
        <v>4940202.323056519</v>
      </c>
      <c r="E17" s="5">
        <f t="shared" si="3"/>
        <v>9.7059379988521932E-3</v>
      </c>
      <c r="F17" s="18">
        <f t="shared" si="5"/>
        <v>1.0413738841777653</v>
      </c>
      <c r="G17" s="21">
        <f t="shared" si="6"/>
        <v>488765497.17000061</v>
      </c>
      <c r="H17" s="6">
        <v>188194721.51000041</v>
      </c>
      <c r="I17" s="6">
        <v>80643102.520000204</v>
      </c>
      <c r="J17" s="6">
        <v>200880475.03000003</v>
      </c>
      <c r="K17" s="6">
        <v>16805471.899999999</v>
      </c>
      <c r="L17" s="6">
        <v>2042501.58</v>
      </c>
      <c r="M17" s="6">
        <v>156291.07</v>
      </c>
      <c r="N17" s="156">
        <v>42933.55999999999</v>
      </c>
      <c r="O17" s="6">
        <f t="shared" si="4"/>
        <v>298329049.45000023</v>
      </c>
      <c r="Q17" s="357"/>
      <c r="R17" s="368">
        <v>189963368.34516984</v>
      </c>
      <c r="S17" s="368">
        <v>81400983.330396175</v>
      </c>
      <c r="T17" s="368">
        <v>202768342.09427509</v>
      </c>
      <c r="U17" s="368">
        <v>16963409.085756212</v>
      </c>
      <c r="V17" s="368">
        <v>2061696.9321666847</v>
      </c>
      <c r="W17" s="368">
        <v>157759.88753166524</v>
      </c>
      <c r="X17" s="368">
        <v>43337.047963994359</v>
      </c>
      <c r="Y17" s="369">
        <f>+'Weather Normalized Historical'!J71</f>
        <v>493358896.72325963</v>
      </c>
    </row>
    <row r="18" spans="1:25" x14ac:dyDescent="0.25">
      <c r="A18">
        <f>'Purchased Power Model'!A181</f>
        <v>2017</v>
      </c>
      <c r="B18" s="6">
        <f>+'Purchased Power Model'!B181</f>
        <v>500698339.18000001</v>
      </c>
      <c r="C18" s="21">
        <f>'Purchased Power Model'!H181</f>
        <v>507121218.68637317</v>
      </c>
      <c r="D18" s="32">
        <f t="shared" si="2"/>
        <v>6422879.506373167</v>
      </c>
      <c r="E18" s="5">
        <f t="shared" si="3"/>
        <v>1.2827842642522038E-2</v>
      </c>
      <c r="F18" s="18">
        <f t="shared" si="5"/>
        <v>1.0379350086472483</v>
      </c>
      <c r="G18" s="21">
        <f t="shared" si="6"/>
        <v>482398546.16000038</v>
      </c>
      <c r="H18" s="6">
        <v>184546623.13000023</v>
      </c>
      <c r="I18" s="6">
        <v>78774627.370000109</v>
      </c>
      <c r="J18" s="6">
        <v>200346165.47999999</v>
      </c>
      <c r="K18" s="6">
        <v>16522751.91</v>
      </c>
      <c r="L18" s="6">
        <v>2036368.7200000002</v>
      </c>
      <c r="M18" s="6">
        <v>129075.95999999989</v>
      </c>
      <c r="N18" s="156">
        <v>42933.589999999989</v>
      </c>
      <c r="O18" s="6">
        <f t="shared" si="4"/>
        <v>295643544.76000011</v>
      </c>
      <c r="Q18" s="357"/>
      <c r="R18" s="368">
        <v>189047599.06874555</v>
      </c>
      <c r="S18" s="368">
        <v>80695890.931274995</v>
      </c>
      <c r="T18" s="368">
        <v>205232482.30851299</v>
      </c>
      <c r="U18" s="368">
        <v>16925731.425568707</v>
      </c>
      <c r="V18" s="368">
        <v>2086034.4708854936</v>
      </c>
      <c r="W18" s="368">
        <v>132224.04139199154</v>
      </c>
      <c r="X18" s="368">
        <v>43980.713227054817</v>
      </c>
      <c r="Y18" s="369">
        <f>+'Weather Normalized Historical'!J72</f>
        <v>494163942.95960683</v>
      </c>
    </row>
    <row r="19" spans="1:25" x14ac:dyDescent="0.25">
      <c r="A19">
        <f>'Purchased Power Model'!A182</f>
        <v>2018</v>
      </c>
      <c r="B19" s="6">
        <f>+'Purchased Power Model'!B182</f>
        <v>514889565.40999997</v>
      </c>
      <c r="C19" s="21">
        <f>'Purchased Power Model'!H182</f>
        <v>524508322.63358557</v>
      </c>
      <c r="D19" s="32">
        <f t="shared" si="2"/>
        <v>9618757.2235856056</v>
      </c>
      <c r="E19" s="5">
        <f t="shared" si="3"/>
        <v>1.8681204416963301E-2</v>
      </c>
      <c r="F19" s="18">
        <f t="shared" si="5"/>
        <v>1.0360347686149867</v>
      </c>
      <c r="G19" s="21">
        <f t="shared" si="6"/>
        <v>496980971.10999972</v>
      </c>
      <c r="H19" s="6">
        <v>196784129.94999957</v>
      </c>
      <c r="I19" s="6">
        <v>81814082.000000045</v>
      </c>
      <c r="J19" s="6">
        <v>199998668.12000006</v>
      </c>
      <c r="K19" s="6">
        <v>16185719.91</v>
      </c>
      <c r="L19" s="6">
        <v>2031595.1800000002</v>
      </c>
      <c r="M19" s="6">
        <v>124703.3299999999</v>
      </c>
      <c r="N19" s="156">
        <v>42072.619999999988</v>
      </c>
      <c r="O19" s="6">
        <f t="shared" si="4"/>
        <v>297998470.03000015</v>
      </c>
      <c r="Q19" s="357"/>
      <c r="R19" s="368">
        <v>196027587.22186714</v>
      </c>
      <c r="S19" s="368">
        <v>81499545.208787978</v>
      </c>
      <c r="T19" s="368">
        <v>199229766.99956521</v>
      </c>
      <c r="U19" s="368">
        <v>16123493.40473959</v>
      </c>
      <c r="V19" s="368">
        <v>2023784.6489356894</v>
      </c>
      <c r="W19" s="368">
        <v>124223.90415651666</v>
      </c>
      <c r="X19" s="368">
        <v>41910.870499557212</v>
      </c>
      <c r="Y19" s="369">
        <f>+'Weather Normalized Historical'!J73</f>
        <v>495070312.25855172</v>
      </c>
    </row>
    <row r="20" spans="1:25" x14ac:dyDescent="0.25">
      <c r="A20">
        <f>'Purchased Power Model'!A183</f>
        <v>2019</v>
      </c>
      <c r="B20" s="6">
        <f>+'Purchased Power Model'!B183</f>
        <v>514147823.86999995</v>
      </c>
      <c r="C20" s="21">
        <f>'Purchased Power Model'!H183</f>
        <v>516585738.53430808</v>
      </c>
      <c r="D20" s="32">
        <f t="shared" si="2"/>
        <v>2437914.6643081307</v>
      </c>
      <c r="E20" s="5">
        <f t="shared" si="3"/>
        <v>4.741660960378871E-3</v>
      </c>
      <c r="F20" s="18">
        <f t="shared" si="5"/>
        <v>1.0370863852459857</v>
      </c>
      <c r="G20" s="21">
        <f t="shared" si="6"/>
        <v>495761810.37999994</v>
      </c>
      <c r="H20" s="6">
        <v>197847017.74999991</v>
      </c>
      <c r="I20" s="6">
        <v>80410230.090000004</v>
      </c>
      <c r="J20" s="6">
        <v>199953323.73000002</v>
      </c>
      <c r="K20" s="6">
        <v>15352959.899999999</v>
      </c>
      <c r="L20" s="6">
        <v>2036368.7200000002</v>
      </c>
      <c r="M20" s="6">
        <v>122420.49</v>
      </c>
      <c r="N20" s="156">
        <v>39489.699999999997</v>
      </c>
      <c r="O20" s="6">
        <f t="shared" si="4"/>
        <v>295716513.72000003</v>
      </c>
      <c r="Q20" s="357"/>
      <c r="R20" s="368">
        <v>197370717.76491809</v>
      </c>
      <c r="S20" s="368">
        <v>80216649.252503186</v>
      </c>
      <c r="T20" s="368">
        <v>199471952.99116987</v>
      </c>
      <c r="U20" s="368">
        <v>15315998.945751134</v>
      </c>
      <c r="V20" s="368">
        <v>2031466.3342982221</v>
      </c>
      <c r="W20" s="368">
        <v>122125.77300995475</v>
      </c>
      <c r="X20" s="368">
        <v>39394.631882548492</v>
      </c>
      <c r="Y20" s="369">
        <f>+'Weather Normalized Historical'!J74</f>
        <v>494568305.693533</v>
      </c>
    </row>
    <row r="21" spans="1:25" ht="13" x14ac:dyDescent="0.3">
      <c r="A21">
        <f>'Purchased Power Model'!A184</f>
        <v>2020</v>
      </c>
      <c r="B21" s="15">
        <f>+'Purchased Power Model'!B184</f>
        <v>0</v>
      </c>
      <c r="C21" s="21">
        <f>'Purchased Power Model'!H184</f>
        <v>513771070.57435787</v>
      </c>
      <c r="D21" s="32"/>
      <c r="E21" s="5"/>
      <c r="F21" s="18"/>
      <c r="G21" s="15">
        <f>C21/F$26</f>
        <v>494560346.33527142</v>
      </c>
      <c r="H21" s="197" t="s">
        <v>176</v>
      </c>
      <c r="Q21" s="357"/>
      <c r="R21" s="370"/>
      <c r="S21" s="370"/>
      <c r="T21" s="370"/>
      <c r="U21" s="370"/>
      <c r="V21" s="370"/>
      <c r="W21" s="370"/>
      <c r="X21" s="370"/>
      <c r="Y21" s="362"/>
    </row>
    <row r="22" spans="1:25" ht="13" x14ac:dyDescent="0.3">
      <c r="A22">
        <f>'Purchased Power Model'!A185</f>
        <v>2021</v>
      </c>
      <c r="B22" s="15">
        <f>+'Purchased Power Model'!B185</f>
        <v>0</v>
      </c>
      <c r="C22" s="21">
        <f>'Purchased Power Model'!H185</f>
        <v>512910056.40893781</v>
      </c>
      <c r="D22" s="32"/>
      <c r="E22" s="5"/>
      <c r="F22" s="18"/>
      <c r="G22" s="15">
        <f>C22/F$26</f>
        <v>493731526.87026399</v>
      </c>
      <c r="H22" s="197" t="s">
        <v>176</v>
      </c>
      <c r="Q22" s="357"/>
      <c r="R22" s="185"/>
      <c r="S22" s="185"/>
      <c r="T22" s="185"/>
      <c r="U22" s="361"/>
      <c r="V22" s="361"/>
      <c r="W22" s="361"/>
      <c r="X22" s="361"/>
      <c r="Y22" s="362"/>
    </row>
    <row r="23" spans="1:25" s="25" customFormat="1" x14ac:dyDescent="0.25">
      <c r="B23" s="21"/>
      <c r="C23" s="21"/>
      <c r="D23" s="127"/>
      <c r="E23" s="128"/>
      <c r="F23" s="17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371"/>
      <c r="R23" s="122"/>
      <c r="S23" s="122"/>
      <c r="T23" s="122"/>
      <c r="U23" s="121"/>
      <c r="V23" s="121"/>
      <c r="W23" s="121"/>
      <c r="X23" s="121"/>
      <c r="Y23" s="372"/>
    </row>
    <row r="24" spans="1:25" ht="13" x14ac:dyDescent="0.3">
      <c r="A24" s="13" t="s">
        <v>157</v>
      </c>
      <c r="F24" s="147">
        <f>AVERAGE(F19:F20)</f>
        <v>1.0365605769304862</v>
      </c>
      <c r="H24"/>
      <c r="I24"/>
      <c r="J24"/>
      <c r="K24"/>
      <c r="L24"/>
      <c r="M24"/>
      <c r="N24"/>
      <c r="O24"/>
      <c r="P24"/>
      <c r="Q24" s="357"/>
      <c r="R24" s="185"/>
      <c r="S24" s="185"/>
      <c r="T24" s="185"/>
      <c r="U24" s="361"/>
      <c r="V24" s="361"/>
      <c r="W24" s="361"/>
      <c r="X24" s="361"/>
      <c r="Y24" s="362"/>
    </row>
    <row r="25" spans="1:25" x14ac:dyDescent="0.25">
      <c r="A25" s="149" t="s">
        <v>127</v>
      </c>
      <c r="F25" s="18">
        <v>1.0470999999999999</v>
      </c>
      <c r="I25" s="46">
        <v>0.42857142857142855</v>
      </c>
      <c r="Q25" s="357"/>
      <c r="R25" s="185"/>
      <c r="S25" s="185"/>
      <c r="T25" s="185"/>
      <c r="U25" s="361"/>
      <c r="V25" s="361"/>
      <c r="W25" s="361"/>
      <c r="X25" s="361"/>
      <c r="Y25" s="362"/>
    </row>
    <row r="26" spans="1:25" x14ac:dyDescent="0.25">
      <c r="E26" s="208" t="s">
        <v>135</v>
      </c>
      <c r="F26" s="18">
        <f>AVERAGE(F16:F20)</f>
        <v>1.0388440447792455</v>
      </c>
      <c r="Q26" s="357"/>
      <c r="R26" s="185"/>
      <c r="S26" s="185"/>
      <c r="T26" s="185"/>
      <c r="U26" s="361"/>
      <c r="V26" s="361"/>
      <c r="W26" s="361"/>
      <c r="X26" s="361"/>
      <c r="Y26" s="362"/>
    </row>
    <row r="27" spans="1:25" ht="13" x14ac:dyDescent="0.3">
      <c r="A27" s="16" t="s">
        <v>15</v>
      </c>
      <c r="B27" s="9"/>
      <c r="Q27" s="357"/>
      <c r="R27" s="185"/>
      <c r="S27" s="185"/>
      <c r="T27" s="185"/>
      <c r="U27" s="361"/>
      <c r="V27" s="361"/>
      <c r="W27" s="361"/>
      <c r="X27" s="361"/>
      <c r="Y27" s="362"/>
    </row>
    <row r="28" spans="1:25" x14ac:dyDescent="0.25">
      <c r="Q28" s="357"/>
      <c r="R28" s="185"/>
      <c r="S28" s="185"/>
      <c r="T28" s="185"/>
      <c r="U28" s="361"/>
      <c r="V28" s="361"/>
      <c r="W28" s="361"/>
      <c r="X28" s="361"/>
      <c r="Y28" s="362"/>
    </row>
    <row r="29" spans="1:25" x14ac:dyDescent="0.25">
      <c r="H29" s="21"/>
      <c r="I29" s="21"/>
      <c r="J29" s="21"/>
      <c r="K29" s="21"/>
      <c r="L29" s="21"/>
      <c r="M29" s="21"/>
      <c r="N29" s="21"/>
      <c r="Q29" s="357"/>
      <c r="R29" s="185"/>
      <c r="S29" s="185"/>
      <c r="T29" s="185"/>
      <c r="U29" s="361"/>
      <c r="V29" s="361"/>
      <c r="W29" s="361"/>
      <c r="X29" s="361"/>
      <c r="Y29" s="362"/>
    </row>
    <row r="30" spans="1:25" x14ac:dyDescent="0.25">
      <c r="H30" s="21"/>
      <c r="I30" s="21"/>
      <c r="J30" s="21"/>
      <c r="K30" s="21"/>
      <c r="L30" s="21"/>
      <c r="M30" s="21"/>
      <c r="N30" s="21"/>
      <c r="Q30" s="357"/>
      <c r="R30" s="185"/>
      <c r="S30" s="185"/>
      <c r="T30" s="185"/>
      <c r="U30" s="361"/>
      <c r="V30" s="361"/>
      <c r="W30" s="361"/>
      <c r="X30" s="361"/>
      <c r="Y30" s="362"/>
    </row>
    <row r="31" spans="1:25" x14ac:dyDescent="0.25">
      <c r="H31" s="21"/>
      <c r="I31" s="21"/>
      <c r="J31" s="21"/>
      <c r="K31" s="21"/>
      <c r="L31" s="21"/>
      <c r="M31" s="21"/>
      <c r="N31" s="21"/>
      <c r="Q31" s="357"/>
      <c r="R31" s="185"/>
      <c r="S31" s="185"/>
      <c r="T31" s="185"/>
      <c r="U31" s="361"/>
      <c r="V31" s="361"/>
      <c r="W31" s="361"/>
      <c r="X31" s="361"/>
      <c r="Y31" s="362"/>
    </row>
    <row r="32" spans="1:25" x14ac:dyDescent="0.25">
      <c r="H32" s="21"/>
      <c r="I32" s="21"/>
      <c r="J32" s="21"/>
      <c r="K32" s="21"/>
      <c r="L32" s="21"/>
      <c r="M32" s="21"/>
      <c r="N32" s="21"/>
      <c r="Q32" s="357"/>
      <c r="R32" s="185"/>
      <c r="S32" s="185"/>
      <c r="T32" s="185"/>
      <c r="U32" s="361"/>
      <c r="V32" s="361"/>
      <c r="W32" s="361"/>
      <c r="X32" s="361"/>
      <c r="Y32" s="362"/>
    </row>
    <row r="33" spans="1:25" x14ac:dyDescent="0.25">
      <c r="A33">
        <v>2009</v>
      </c>
      <c r="H33" s="21">
        <f>H10/'Rate Class Customer Model'!B13</f>
        <v>10235.62406235012</v>
      </c>
      <c r="I33" s="21">
        <f>I10/'Rate Class Customer Model'!C13</f>
        <v>33246.328033472804</v>
      </c>
      <c r="J33" s="21">
        <f>J10/'Rate Class Customer Model'!D13</f>
        <v>766620.45824817521</v>
      </c>
      <c r="K33" s="21">
        <f>K10/'Rate Class Customer Model'!E13</f>
        <v>18908695.885000002</v>
      </c>
      <c r="L33" s="21">
        <f>L10/'Rate Class Customer Model'!F13</f>
        <v>596.43849398671694</v>
      </c>
      <c r="M33" s="21">
        <f>M10/'Rate Class Customer Model'!G13</f>
        <v>1077.1155598455598</v>
      </c>
      <c r="N33" s="21">
        <f>N10/'Rate Class Customer Model'!H13</f>
        <v>14850.994285714285</v>
      </c>
      <c r="Q33" s="357"/>
      <c r="R33" s="185"/>
      <c r="S33" s="185"/>
      <c r="T33" s="185"/>
      <c r="U33" s="361"/>
      <c r="V33" s="361"/>
      <c r="W33" s="361"/>
      <c r="X33" s="361"/>
      <c r="Y33" s="362"/>
    </row>
    <row r="34" spans="1:25" x14ac:dyDescent="0.25">
      <c r="A34">
        <f>A11</f>
        <v>2010</v>
      </c>
      <c r="H34" s="21">
        <f>H11/'Rate Class Customer Model'!B14</f>
        <v>9857.5371205611373</v>
      </c>
      <c r="I34" s="21">
        <f>I11/'Rate Class Customer Model'!C14</f>
        <v>32298.556426130068</v>
      </c>
      <c r="J34" s="21">
        <f>J11/'Rate Class Customer Model'!D14</f>
        <v>855158.87223048322</v>
      </c>
      <c r="K34" s="21">
        <f>K11/'Rate Class Customer Model'!E14</f>
        <v>20514051.905000001</v>
      </c>
      <c r="L34" s="21">
        <f>L11/'Rate Class Customer Model'!F14</f>
        <v>596.58832196697767</v>
      </c>
      <c r="M34" s="21">
        <f>M11/'Rate Class Customer Model'!G14</f>
        <v>1118.6789194499017</v>
      </c>
      <c r="N34" s="21">
        <f>N11/'Rate Class Customer Model'!H14</f>
        <v>8690.7042105263154</v>
      </c>
      <c r="Q34" s="357"/>
      <c r="R34" s="185"/>
      <c r="S34" s="185"/>
      <c r="T34" s="185"/>
      <c r="U34" s="361"/>
      <c r="V34" s="361"/>
      <c r="W34" s="361"/>
      <c r="X34" s="361"/>
      <c r="Y34" s="362"/>
    </row>
    <row r="35" spans="1:25" x14ac:dyDescent="0.25">
      <c r="A35">
        <f>A12</f>
        <v>2011</v>
      </c>
      <c r="H35" s="21">
        <f>H12/'Rate Class Customer Model'!B15</f>
        <v>9829.2606290292206</v>
      </c>
      <c r="I35" s="21">
        <f>I12/'Rate Class Customer Model'!C15</f>
        <v>32414.465871140888</v>
      </c>
      <c r="J35" s="21">
        <f>J12/'Rate Class Customer Model'!D15</f>
        <v>864430.47033582116</v>
      </c>
      <c r="K35" s="21">
        <f>K12/'Rate Class Customer Model'!E15</f>
        <v>18543425.905000001</v>
      </c>
      <c r="L35" s="21">
        <f>L12/'Rate Class Customer Model'!F15</f>
        <v>574.83363293864375</v>
      </c>
      <c r="M35" s="21">
        <f>M12/'Rate Class Customer Model'!G15</f>
        <v>1016.1690295358651</v>
      </c>
      <c r="N35" s="21">
        <f>N12/'Rate Class Customer Model'!H15</f>
        <v>4670.7461111111106</v>
      </c>
      <c r="Q35" s="357"/>
      <c r="R35" s="185"/>
      <c r="S35" s="185"/>
      <c r="T35" s="185"/>
      <c r="U35" s="361"/>
      <c r="V35" s="361"/>
      <c r="W35" s="361"/>
      <c r="X35" s="361"/>
      <c r="Y35" s="362"/>
    </row>
    <row r="36" spans="1:25" x14ac:dyDescent="0.25">
      <c r="A36">
        <v>2012</v>
      </c>
      <c r="H36" s="21">
        <f>H13/'Rate Class Customer Model'!B16</f>
        <v>9519.5228361962854</v>
      </c>
      <c r="I36" s="21">
        <f>I13/'Rate Class Customer Model'!C16</f>
        <v>32116.699644612476</v>
      </c>
      <c r="J36" s="21">
        <f>J13/'Rate Class Customer Model'!D16</f>
        <v>880663.20059055113</v>
      </c>
      <c r="K36" s="21">
        <f>K13/'Rate Class Customer Model'!E16</f>
        <v>17861385.91</v>
      </c>
      <c r="L36" s="21">
        <f>L13/'Rate Class Customer Model'!F16</f>
        <v>500.58099928238255</v>
      </c>
      <c r="M36" s="21">
        <f>M13/'Rate Class Customer Model'!G16</f>
        <v>1091.1845413870246</v>
      </c>
      <c r="N36" s="21">
        <f>N13/'Rate Class Customer Model'!H16</f>
        <v>5222.0288235294101</v>
      </c>
      <c r="Q36" s="357"/>
      <c r="R36" s="185"/>
      <c r="S36" s="185"/>
      <c r="T36" s="185"/>
      <c r="U36" s="361"/>
      <c r="V36" s="361"/>
      <c r="W36" s="361"/>
      <c r="X36" s="361"/>
      <c r="Y36" s="362"/>
    </row>
    <row r="37" spans="1:25" x14ac:dyDescent="0.25">
      <c r="A37">
        <v>2013</v>
      </c>
      <c r="H37" s="21">
        <f>H14/'Rate Class Customer Model'!B17</f>
        <v>9844.9232167898499</v>
      </c>
      <c r="I37" s="21">
        <f>I14/'Rate Class Customer Model'!C17</f>
        <v>32132.627674594391</v>
      </c>
      <c r="J37" s="21">
        <f>J14/'Rate Class Customer Model'!D17</f>
        <v>849468.44552941155</v>
      </c>
      <c r="K37" s="21">
        <f>K14/'Rate Class Customer Model'!E17</f>
        <v>17887517.895</v>
      </c>
      <c r="L37" s="21">
        <f>L14/'Rate Class Customer Model'!F17</f>
        <v>421.28959992823826</v>
      </c>
      <c r="M37" s="21">
        <f>M14/'Rate Class Customer Model'!G17</f>
        <v>1039.6970023419219</v>
      </c>
      <c r="N37" s="21">
        <f>N14/'Rate Class Customer Model'!H17</f>
        <v>5938.9446666666654</v>
      </c>
      <c r="Q37" s="357"/>
      <c r="R37" s="185"/>
      <c r="S37" s="185"/>
      <c r="T37" s="185"/>
      <c r="U37" s="361"/>
      <c r="V37" s="361"/>
      <c r="W37" s="361"/>
      <c r="X37" s="361"/>
      <c r="Y37" s="362"/>
    </row>
    <row r="38" spans="1:25" x14ac:dyDescent="0.25">
      <c r="A38">
        <v>2014</v>
      </c>
      <c r="H38" s="21">
        <f>H15/'Rate Class Customer Model'!B18</f>
        <v>9752.8095728560093</v>
      </c>
      <c r="I38" s="21">
        <f>I15/'Rate Class Customer Model'!C18</f>
        <v>32129.866270229926</v>
      </c>
      <c r="J38" s="21">
        <f>J15/'Rate Class Customer Model'!D18</f>
        <v>862048.36285714281</v>
      </c>
      <c r="K38" s="21">
        <f>K15/'Rate Class Customer Model'!E18</f>
        <v>13463277.910000002</v>
      </c>
      <c r="L38" s="21">
        <f>L15/'Rate Class Customer Model'!F18</f>
        <v>373.97414467613953</v>
      </c>
      <c r="M38" s="21">
        <f>M15/'Rate Class Customer Model'!G18</f>
        <v>992.95700234192145</v>
      </c>
      <c r="N38" s="21">
        <f>N15/'Rate Class Customer Model'!H18</f>
        <v>4600.8681818181803</v>
      </c>
      <c r="Q38" s="357"/>
      <c r="R38" s="185"/>
      <c r="S38" s="185"/>
      <c r="T38" s="185"/>
      <c r="U38" s="361"/>
      <c r="V38" s="361"/>
      <c r="W38" s="361"/>
      <c r="X38" s="361"/>
      <c r="Y38" s="362"/>
    </row>
    <row r="39" spans="1:25" x14ac:dyDescent="0.25">
      <c r="A39">
        <v>2015</v>
      </c>
      <c r="H39" s="21">
        <f>H16/'Rate Class Customer Model'!B19</f>
        <v>9313.9901903228838</v>
      </c>
      <c r="I39" s="21">
        <f>I16/'Rate Class Customer Model'!C19</f>
        <v>31582.844244142278</v>
      </c>
      <c r="J39" s="21">
        <f>J16/'Rate Class Customer Model'!D19</f>
        <v>851334.15114173223</v>
      </c>
      <c r="K39" s="21">
        <f>K16/'Rate Class Customer Model'!E19</f>
        <v>17738635.890000001</v>
      </c>
      <c r="L39" s="21">
        <f>L16/'Rate Class Customer Model'!F19</f>
        <v>375.57519734415348</v>
      </c>
      <c r="M39" s="21">
        <f>M16/'Rate Class Customer Model'!G19</f>
        <v>930.04982587064796</v>
      </c>
      <c r="N39" s="21">
        <f>N16/'Rate Class Customer Model'!H19</f>
        <v>4293.3589999999995</v>
      </c>
      <c r="Q39" s="357"/>
      <c r="R39" s="185">
        <f>+R16/'Rate Class Customer Model'!B19</f>
        <v>8874.2957236754846</v>
      </c>
      <c r="S39" s="185">
        <f>+S16/'Rate Class Customer Model'!C19</f>
        <v>30091.882629262742</v>
      </c>
      <c r="T39" s="185">
        <f>+T16/'Rate Class Customer Model'!D19</f>
        <v>811144.40347441123</v>
      </c>
      <c r="U39" s="185">
        <f>+U16/'Rate Class Customer Model'!E19</f>
        <v>16901231.094919842</v>
      </c>
      <c r="V39" s="185">
        <f>+V16/'Rate Class Customer Model'!F19</f>
        <v>357.8450588419887</v>
      </c>
      <c r="W39" s="185">
        <f>+W16/'Rate Class Customer Model'!G19</f>
        <v>886.14407186131029</v>
      </c>
      <c r="X39" s="185">
        <f>+X16/'Rate Class Customer Model'!H19</f>
        <v>4090.6782845326188</v>
      </c>
      <c r="Y39" s="373">
        <f>+Y16/'Rate Class Customer Model'!I19</f>
        <v>16489.777201282712</v>
      </c>
    </row>
    <row r="40" spans="1:25" x14ac:dyDescent="0.25">
      <c r="A40">
        <v>2016</v>
      </c>
      <c r="H40" s="21">
        <f>H17/'Rate Class Customer Model'!B20</f>
        <v>8888.429675057876</v>
      </c>
      <c r="I40" s="21">
        <f>I17/'Rate Class Customer Model'!C20</f>
        <v>30328.357472734187</v>
      </c>
      <c r="J40" s="21">
        <f>J17/'Rate Class Customer Model'!D20</f>
        <v>793993.97245059302</v>
      </c>
      <c r="K40" s="21">
        <f>K17/'Rate Class Customer Model'!E20</f>
        <v>16805471.899999999</v>
      </c>
      <c r="L40" s="21">
        <f>L17/'Rate Class Customer Model'!F20</f>
        <v>376.56740044247789</v>
      </c>
      <c r="M40" s="21">
        <f>M17/'Rate Class Customer Model'!G20</f>
        <v>352.00691441441444</v>
      </c>
      <c r="N40" s="21">
        <f>N17/'Rate Class Customer Model'!H20</f>
        <v>4293.3559999999989</v>
      </c>
      <c r="Q40" s="357"/>
      <c r="R40" s="185">
        <f>+R17/'Rate Class Customer Model'!B20</f>
        <v>8971.9627990917597</v>
      </c>
      <c r="S40" s="185">
        <f>+S17/'Rate Class Customer Model'!C20</f>
        <v>30613.382222789085</v>
      </c>
      <c r="T40" s="185">
        <f>+T17/'Rate Class Customer Model'!D20</f>
        <v>801455.89760583034</v>
      </c>
      <c r="U40" s="185">
        <f>+U17/'Rate Class Customer Model'!E20</f>
        <v>16963409.085756212</v>
      </c>
      <c r="V40" s="185">
        <f>+V17/'Rate Class Customer Model'!F20</f>
        <v>380.10636654990498</v>
      </c>
      <c r="W40" s="185">
        <f>+W17/'Rate Class Customer Model'!G20</f>
        <v>355.31506200825504</v>
      </c>
      <c r="X40" s="185">
        <f>+X17/'Rate Class Customer Model'!H20</f>
        <v>4333.7047963994355</v>
      </c>
      <c r="Y40" s="373">
        <f>+Y17/'Rate Class Customer Model'!I20</f>
        <v>16465.054622989574</v>
      </c>
    </row>
    <row r="41" spans="1:25" x14ac:dyDescent="0.25">
      <c r="A41">
        <v>2017</v>
      </c>
      <c r="H41" s="21">
        <f>H18/'Rate Class Customer Model'!B21</f>
        <v>8708.3155497357602</v>
      </c>
      <c r="I41" s="21">
        <f>I18/'Rate Class Customer Model'!C21</f>
        <v>29692.660147003433</v>
      </c>
      <c r="J41" s="21">
        <f>J18/'Rate Class Customer Model'!D21</f>
        <v>767609.82942528732</v>
      </c>
      <c r="K41" s="21">
        <f>K18/'Rate Class Customer Model'!E21</f>
        <v>16522751.91</v>
      </c>
      <c r="L41" s="21">
        <f>L18/'Rate Class Customer Model'!F21</f>
        <v>375.4367109144543</v>
      </c>
      <c r="M41" s="21">
        <f>M18/'Rate Class Customer Model'!G21</f>
        <v>296.04577981651352</v>
      </c>
      <c r="N41" s="21">
        <f>N18/'Rate Class Customer Model'!H21</f>
        <v>4293.3589999999986</v>
      </c>
      <c r="Q41" s="357"/>
      <c r="R41" s="185">
        <f>+R18/'Rate Class Customer Model'!B21</f>
        <v>8920.7058828211375</v>
      </c>
      <c r="S41" s="185">
        <f>+S18/'Rate Class Customer Model'!C21</f>
        <v>30416.845432067468</v>
      </c>
      <c r="T41" s="185">
        <f>+T18/'Rate Class Customer Model'!D21</f>
        <v>786331.34984104591</v>
      </c>
      <c r="U41" s="185">
        <f>+U18/'Rate Class Customer Model'!E21</f>
        <v>16925731.425568707</v>
      </c>
      <c r="V41" s="185">
        <f>+V18/'Rate Class Customer Model'!F21</f>
        <v>384.59337590071783</v>
      </c>
      <c r="W41" s="185">
        <f>+W18/'Rate Class Customer Model'!G21</f>
        <v>303.266149981632</v>
      </c>
      <c r="X41" s="185">
        <f>+X18/'Rate Class Customer Model'!H21</f>
        <v>4398.0713227054821</v>
      </c>
      <c r="Y41" s="373">
        <f>+Y18/'Rate Class Customer Model'!I21</f>
        <v>16484.769755466084</v>
      </c>
    </row>
    <row r="42" spans="1:25" x14ac:dyDescent="0.25">
      <c r="A42">
        <v>2018</v>
      </c>
      <c r="H42" s="21">
        <f>H19/'Rate Class Customer Model'!B22</f>
        <v>9269.5901808846193</v>
      </c>
      <c r="I42" s="21">
        <f>I19/'Rate Class Customer Model'!C22</f>
        <v>30826.707611152993</v>
      </c>
      <c r="J42" s="21">
        <f>J19/'Rate Class Customer Model'!D22</f>
        <v>775188.63612403127</v>
      </c>
      <c r="K42" s="21">
        <f>K19/'Rate Class Customer Model'!E22</f>
        <v>16185719.91</v>
      </c>
      <c r="L42" s="21">
        <f>L19/'Rate Class Customer Model'!F22</f>
        <v>374.55663348082601</v>
      </c>
      <c r="M42" s="21">
        <f>M19/'Rate Class Customer Model'!G22</f>
        <v>293.41959999999978</v>
      </c>
      <c r="N42" s="21">
        <f>N19/'Rate Class Customer Model'!H22</f>
        <v>4207.2619999999988</v>
      </c>
      <c r="Q42" s="357"/>
      <c r="R42" s="185">
        <f>+R19/'Rate Class Customer Model'!B22</f>
        <v>9233.9529521817858</v>
      </c>
      <c r="S42" s="185">
        <f>+S19/'Rate Class Customer Model'!C22</f>
        <v>30708.193371811598</v>
      </c>
      <c r="T42" s="185">
        <f>+T19/'Rate Class Customer Model'!D22</f>
        <v>772208.399223121</v>
      </c>
      <c r="U42" s="185">
        <f>+U19/'Rate Class Customer Model'!E22</f>
        <v>16123493.40473959</v>
      </c>
      <c r="V42" s="185">
        <f>+V19/'Rate Class Customer Model'!F22</f>
        <v>373.11663881557695</v>
      </c>
      <c r="W42" s="185">
        <f>+W19/'Rate Class Customer Model'!G22</f>
        <v>292.29153919180391</v>
      </c>
      <c r="X42" s="185">
        <f>+X19/'Rate Class Customer Model'!H22</f>
        <v>4191.0870499557213</v>
      </c>
      <c r="Y42" s="373">
        <f>+Y19/'Rate Class Customer Model'!I22</f>
        <v>16501.793682162319</v>
      </c>
    </row>
    <row r="43" spans="1:25" ht="13" thickBot="1" x14ac:dyDescent="0.3">
      <c r="A43">
        <v>2019</v>
      </c>
      <c r="H43" s="21">
        <f>H20/'Rate Class Customer Model'!B23</f>
        <v>9297.3222626879651</v>
      </c>
      <c r="I43" s="21">
        <f>I20/'Rate Class Customer Model'!C23</f>
        <v>30309.170784018093</v>
      </c>
      <c r="J43" s="21">
        <f>J20/'Rate Class Customer Model'!D23</f>
        <v>760278.79745247157</v>
      </c>
      <c r="K43" s="21">
        <f>K20/'Rate Class Customer Model'!E23</f>
        <v>15352959.899999999</v>
      </c>
      <c r="L43" s="21">
        <f>L20/'Rate Class Customer Model'!F23</f>
        <v>375.4367109144543</v>
      </c>
      <c r="M43" s="21">
        <f>M20/'Rate Class Customer Model'!G23</f>
        <v>293.57431654676259</v>
      </c>
      <c r="N43" s="21">
        <f>N20/'Rate Class Customer Model'!H23</f>
        <v>4387.7444444444445</v>
      </c>
      <c r="Q43" s="374"/>
      <c r="R43" s="375">
        <f>+R20/'Rate Class Customer Model'!B23</f>
        <v>9274.9397445920149</v>
      </c>
      <c r="S43" s="375">
        <f>+S20/'Rate Class Customer Model'!C23</f>
        <v>30236.20401526694</v>
      </c>
      <c r="T43" s="375">
        <f>+T20/'Rate Class Customer Model'!D23</f>
        <v>758448.49046072189</v>
      </c>
      <c r="U43" s="375">
        <f>+U20/'Rate Class Customer Model'!E23</f>
        <v>15315998.945751134</v>
      </c>
      <c r="V43" s="375">
        <f>+V20/'Rate Class Customer Model'!F23</f>
        <v>374.53287874229756</v>
      </c>
      <c r="W43" s="375">
        <f>+W20/'Rate Class Customer Model'!G23</f>
        <v>292.86756117495145</v>
      </c>
      <c r="X43" s="375">
        <f>+X20/'Rate Class Customer Model'!H23</f>
        <v>4377.1813202831654</v>
      </c>
      <c r="Y43" s="376">
        <f>+Y20/'Rate Class Customer Model'!I23</f>
        <v>16459.823133541886</v>
      </c>
    </row>
    <row r="44" spans="1:25" x14ac:dyDescent="0.25">
      <c r="A44">
        <v>2020</v>
      </c>
      <c r="H44" s="15">
        <f>+H43*H62</f>
        <v>9437.7579041424033</v>
      </c>
      <c r="I44" s="15">
        <f>+I43*I62</f>
        <v>30302.777918850436</v>
      </c>
      <c r="J44" s="15">
        <f>+J43*J62</f>
        <v>749361.60425910156</v>
      </c>
      <c r="K44" s="15">
        <f>+K43*K62</f>
        <v>14897243.509943135</v>
      </c>
      <c r="L44" s="15">
        <f t="shared" ref="L44:N45" si="7">+L43</f>
        <v>375.4367109144543</v>
      </c>
      <c r="M44" s="15">
        <f t="shared" si="7"/>
        <v>293.57431654676259</v>
      </c>
      <c r="N44" s="15">
        <f t="shared" si="7"/>
        <v>4387.7444444444445</v>
      </c>
      <c r="O44" s="278"/>
    </row>
    <row r="45" spans="1:25" x14ac:dyDescent="0.25">
      <c r="A45">
        <v>2021</v>
      </c>
      <c r="H45" s="15">
        <f>+H44*H62</f>
        <v>9580.3148197479877</v>
      </c>
      <c r="I45" s="15">
        <f>+I44*I62</f>
        <v>30296.386402077471</v>
      </c>
      <c r="J45" s="15">
        <f>+J44*J62</f>
        <v>738601.17606775544</v>
      </c>
      <c r="K45" s="15">
        <f>+K44*K62</f>
        <v>14455053.985684082</v>
      </c>
      <c r="L45" s="15">
        <f t="shared" si="7"/>
        <v>375.4367109144543</v>
      </c>
      <c r="M45" s="15">
        <f t="shared" si="7"/>
        <v>293.57431654676259</v>
      </c>
      <c r="N45" s="15">
        <f t="shared" si="7"/>
        <v>4387.7444444444445</v>
      </c>
    </row>
    <row r="46" spans="1:25" x14ac:dyDescent="0.25">
      <c r="H46" s="261"/>
    </row>
    <row r="47" spans="1:25" x14ac:dyDescent="0.25">
      <c r="A47" s="33"/>
      <c r="D47" s="6"/>
      <c r="H47" s="19"/>
      <c r="I47" s="19"/>
      <c r="J47" s="19"/>
      <c r="K47" s="19"/>
      <c r="L47" s="19"/>
      <c r="M47" s="19"/>
      <c r="N47" s="19"/>
      <c r="P47" s="215"/>
      <c r="Q47" s="215"/>
      <c r="R47" s="215"/>
      <c r="S47" s="215"/>
      <c r="T47" s="215"/>
      <c r="U47" s="215"/>
      <c r="V47" s="215"/>
      <c r="W47" s="215"/>
    </row>
    <row r="48" spans="1:25" x14ac:dyDescent="0.25">
      <c r="A48" s="33"/>
      <c r="D48" s="6"/>
      <c r="H48" s="19"/>
      <c r="I48" s="19"/>
      <c r="J48" s="19"/>
      <c r="K48" s="19"/>
      <c r="L48" s="19"/>
      <c r="M48" s="19"/>
      <c r="N48" s="19"/>
      <c r="P48" s="215"/>
      <c r="Q48" s="215"/>
      <c r="R48" s="215"/>
      <c r="S48" s="215"/>
      <c r="T48" s="215"/>
      <c r="U48" s="215"/>
      <c r="V48" s="215"/>
      <c r="W48" s="215"/>
    </row>
    <row r="49" spans="1:24" x14ac:dyDescent="0.25">
      <c r="A49" s="33"/>
      <c r="D49" s="6"/>
      <c r="H49" s="19"/>
      <c r="I49" s="19"/>
      <c r="J49" s="19"/>
      <c r="K49" s="19"/>
      <c r="L49" s="19"/>
      <c r="M49" s="19"/>
      <c r="N49" s="19"/>
      <c r="P49" s="215"/>
      <c r="Q49" s="215"/>
      <c r="R49" s="215"/>
      <c r="S49" s="215"/>
      <c r="T49" s="215"/>
      <c r="U49" s="215"/>
      <c r="V49" s="215"/>
      <c r="W49" s="215"/>
    </row>
    <row r="50" spans="1:24" x14ac:dyDescent="0.25">
      <c r="D50" s="6"/>
      <c r="H50" s="19"/>
      <c r="I50" s="19"/>
      <c r="J50" s="19"/>
      <c r="K50" s="19"/>
      <c r="L50" s="19"/>
      <c r="M50" s="19"/>
      <c r="N50" s="19"/>
      <c r="P50" s="215"/>
      <c r="Q50" s="215"/>
      <c r="R50" s="215"/>
      <c r="S50" s="215"/>
      <c r="T50" s="215"/>
      <c r="U50" s="215"/>
      <c r="V50" s="215"/>
      <c r="W50" s="215"/>
    </row>
    <row r="51" spans="1:24" x14ac:dyDescent="0.25">
      <c r="A51">
        <v>2010</v>
      </c>
      <c r="D51" s="6"/>
      <c r="H51" s="19">
        <f t="shared" ref="H51:N60" si="8">H34/H33</f>
        <v>0.96306166194793075</v>
      </c>
      <c r="I51" s="19">
        <f t="shared" si="8"/>
        <v>0.9714924425221183</v>
      </c>
      <c r="J51" s="19">
        <f t="shared" si="8"/>
        <v>1.115491848710416</v>
      </c>
      <c r="K51" s="19">
        <f t="shared" si="8"/>
        <v>1.0849004093018126</v>
      </c>
      <c r="L51" s="19">
        <f t="shared" si="8"/>
        <v>1.0002512044104652</v>
      </c>
      <c r="M51" s="19">
        <f t="shared" si="8"/>
        <v>1.0385876512732779</v>
      </c>
      <c r="N51" s="19">
        <f t="shared" si="8"/>
        <v>0.58519342498745841</v>
      </c>
      <c r="P51" s="215"/>
      <c r="Q51" s="215"/>
      <c r="R51" s="215"/>
      <c r="S51" s="215"/>
      <c r="T51" s="215"/>
      <c r="U51" s="215"/>
      <c r="V51" s="215"/>
      <c r="W51" s="215"/>
    </row>
    <row r="52" spans="1:24" x14ac:dyDescent="0.25">
      <c r="A52">
        <v>2011</v>
      </c>
      <c r="D52" s="6"/>
      <c r="H52" s="19">
        <f t="shared" si="8"/>
        <v>0.99713148515840366</v>
      </c>
      <c r="I52" s="19">
        <f t="shared" si="8"/>
        <v>1.0035886880974361</v>
      </c>
      <c r="J52" s="19">
        <f t="shared" si="8"/>
        <v>1.0108419597883083</v>
      </c>
      <c r="K52" s="19">
        <f t="shared" si="8"/>
        <v>0.90393774915234137</v>
      </c>
      <c r="L52" s="19">
        <f t="shared" si="8"/>
        <v>0.96353483930659622</v>
      </c>
      <c r="M52" s="19">
        <f t="shared" si="8"/>
        <v>0.90836522604319314</v>
      </c>
      <c r="N52" s="19">
        <f t="shared" si="8"/>
        <v>0.5374416155429419</v>
      </c>
      <c r="P52" s="215"/>
      <c r="Q52" s="215"/>
      <c r="R52" s="215"/>
      <c r="S52" s="215"/>
      <c r="T52" s="215"/>
      <c r="U52" s="215"/>
      <c r="V52" s="215"/>
      <c r="W52" s="215"/>
    </row>
    <row r="53" spans="1:24" x14ac:dyDescent="0.25">
      <c r="A53">
        <v>2012</v>
      </c>
      <c r="D53" s="6"/>
      <c r="H53" s="19">
        <f t="shared" si="8"/>
        <v>0.96848819005590592</v>
      </c>
      <c r="I53" s="19">
        <f t="shared" si="8"/>
        <v>0.9908137858043955</v>
      </c>
      <c r="J53" s="19">
        <f t="shared" si="8"/>
        <v>1.0187785262225009</v>
      </c>
      <c r="K53" s="19">
        <f t="shared" si="8"/>
        <v>0.96321931025614327</v>
      </c>
      <c r="L53" s="19">
        <f t="shared" si="8"/>
        <v>0.87082761097907657</v>
      </c>
      <c r="M53" s="19">
        <f t="shared" si="8"/>
        <v>1.0738218836342837</v>
      </c>
      <c r="N53" s="19">
        <f t="shared" si="8"/>
        <v>1.1180288329324661</v>
      </c>
      <c r="P53" s="215"/>
      <c r="Q53" s="215"/>
      <c r="R53" s="215"/>
      <c r="S53" s="215"/>
      <c r="T53" s="215"/>
      <c r="U53" s="215"/>
      <c r="V53" s="215"/>
      <c r="W53" s="215"/>
    </row>
    <row r="54" spans="1:24" x14ac:dyDescent="0.25">
      <c r="A54">
        <v>2013</v>
      </c>
      <c r="D54" s="6"/>
      <c r="H54" s="19">
        <f t="shared" si="8"/>
        <v>1.0341824255472436</v>
      </c>
      <c r="I54" s="19">
        <f t="shared" si="8"/>
        <v>1.000495942302857</v>
      </c>
      <c r="J54" s="19">
        <f t="shared" si="8"/>
        <v>0.96457810995143078</v>
      </c>
      <c r="K54" s="19">
        <f t="shared" si="8"/>
        <v>1.0014630435248235</v>
      </c>
      <c r="L54" s="19">
        <f t="shared" si="8"/>
        <v>0.84160126039978744</v>
      </c>
      <c r="M54" s="19">
        <f t="shared" si="8"/>
        <v>0.95281500324440449</v>
      </c>
      <c r="N54" s="19">
        <f t="shared" si="8"/>
        <v>1.1372868414488593</v>
      </c>
      <c r="P54" s="215"/>
      <c r="Q54" s="215"/>
      <c r="R54" s="215"/>
      <c r="S54" s="215"/>
      <c r="T54" s="215"/>
      <c r="U54" s="215"/>
      <c r="V54" s="215"/>
      <c r="W54" s="215"/>
    </row>
    <row r="55" spans="1:24" x14ac:dyDescent="0.25">
      <c r="A55" s="52">
        <v>2014</v>
      </c>
      <c r="D55" s="6"/>
      <c r="H55" s="19">
        <f t="shared" si="8"/>
        <v>0.99064353861320653</v>
      </c>
      <c r="I55" s="19">
        <f t="shared" si="8"/>
        <v>0.99991406229230828</v>
      </c>
      <c r="J55" s="19">
        <f t="shared" si="8"/>
        <v>1.0148091637705166</v>
      </c>
      <c r="K55" s="19">
        <f t="shared" si="8"/>
        <v>0.7526632811231635</v>
      </c>
      <c r="L55" s="19">
        <f t="shared" si="8"/>
        <v>0.88768900238658077</v>
      </c>
      <c r="M55" s="19">
        <f t="shared" si="8"/>
        <v>0.95504459482453208</v>
      </c>
      <c r="N55" s="19">
        <f t="shared" si="8"/>
        <v>0.77469456949840498</v>
      </c>
      <c r="P55" s="215"/>
      <c r="Q55" s="215"/>
      <c r="R55" s="215"/>
      <c r="S55" s="215"/>
      <c r="T55" s="215"/>
      <c r="U55" s="215"/>
      <c r="V55" s="215"/>
      <c r="W55" s="215"/>
    </row>
    <row r="56" spans="1:24" x14ac:dyDescent="0.25">
      <c r="A56">
        <v>2015</v>
      </c>
      <c r="D56" s="6"/>
      <c r="H56" s="19">
        <f t="shared" si="8"/>
        <v>0.95500584941651623</v>
      </c>
      <c r="I56" s="19">
        <f t="shared" si="8"/>
        <v>0.98297465599492728</v>
      </c>
      <c r="J56" s="19">
        <f t="shared" si="8"/>
        <v>0.98757121737358244</v>
      </c>
      <c r="K56" s="19">
        <f t="shared" si="8"/>
        <v>1.3175569878732452</v>
      </c>
      <c r="L56" s="19">
        <f t="shared" si="8"/>
        <v>1.0042811854530758</v>
      </c>
      <c r="M56" s="19">
        <f t="shared" si="8"/>
        <v>0.93664662586304859</v>
      </c>
      <c r="N56" s="19">
        <f t="shared" si="8"/>
        <v>0.93316279239787769</v>
      </c>
      <c r="P56" s="215"/>
      <c r="Q56" s="215"/>
      <c r="R56" s="215"/>
      <c r="S56" s="215"/>
      <c r="T56" s="215"/>
      <c r="U56" s="215"/>
      <c r="V56" s="215"/>
      <c r="W56" s="215"/>
    </row>
    <row r="57" spans="1:24" x14ac:dyDescent="0.25">
      <c r="A57" s="52">
        <v>2016</v>
      </c>
      <c r="D57" s="6"/>
      <c r="H57" s="19">
        <f t="shared" si="8"/>
        <v>0.95430953795644324</v>
      </c>
      <c r="I57" s="19">
        <f t="shared" si="8"/>
        <v>0.96027948712564859</v>
      </c>
      <c r="J57" s="19">
        <f t="shared" si="8"/>
        <v>0.93264668330967371</v>
      </c>
      <c r="K57" s="19">
        <f t="shared" si="8"/>
        <v>0.94739370063252359</v>
      </c>
      <c r="L57" s="19">
        <f t="shared" si="8"/>
        <v>1.0026418227437293</v>
      </c>
      <c r="M57" s="19">
        <f t="shared" si="8"/>
        <v>0.37848178089264201</v>
      </c>
      <c r="N57" s="19">
        <f t="shared" si="8"/>
        <v>0.99999930124641323</v>
      </c>
      <c r="P57" s="215"/>
      <c r="Q57" s="215"/>
      <c r="R57" s="215"/>
      <c r="S57" s="215"/>
      <c r="T57" s="215"/>
      <c r="U57" s="215"/>
      <c r="V57" s="215"/>
      <c r="W57" s="215"/>
    </row>
    <row r="58" spans="1:24" x14ac:dyDescent="0.25">
      <c r="A58">
        <v>2017</v>
      </c>
      <c r="D58" s="6"/>
      <c r="H58" s="19">
        <f t="shared" si="8"/>
        <v>0.97973611403738281</v>
      </c>
      <c r="I58" s="19">
        <f t="shared" si="8"/>
        <v>0.97903950695970732</v>
      </c>
      <c r="J58" s="19">
        <f t="shared" si="8"/>
        <v>0.96677034846514853</v>
      </c>
      <c r="K58" s="19">
        <f t="shared" si="8"/>
        <v>0.98317690858773221</v>
      </c>
      <c r="L58" s="19">
        <f t="shared" si="8"/>
        <v>0.9969973780877075</v>
      </c>
      <c r="M58" s="19">
        <f t="shared" si="8"/>
        <v>0.84102262681119266</v>
      </c>
      <c r="N58" s="19">
        <f t="shared" si="8"/>
        <v>1.0000006987540748</v>
      </c>
      <c r="P58" s="215"/>
      <c r="Q58" s="215"/>
      <c r="R58" s="215"/>
      <c r="S58" s="215"/>
      <c r="T58" s="215"/>
      <c r="U58" s="215"/>
      <c r="V58" s="215"/>
      <c r="W58" s="215"/>
    </row>
    <row r="59" spans="1:24" x14ac:dyDescent="0.25">
      <c r="A59" s="52">
        <v>2018</v>
      </c>
      <c r="D59" s="6"/>
      <c r="H59" s="19">
        <f t="shared" si="8"/>
        <v>1.0644527208440318</v>
      </c>
      <c r="I59" s="19">
        <f t="shared" si="8"/>
        <v>1.0381928550198964</v>
      </c>
      <c r="J59" s="19">
        <f t="shared" si="8"/>
        <v>1.0098732538435813</v>
      </c>
      <c r="K59" s="19">
        <f t="shared" si="8"/>
        <v>0.97960194513384791</v>
      </c>
      <c r="L59" s="19">
        <f t="shared" si="8"/>
        <v>0.99765585674484347</v>
      </c>
      <c r="M59" s="19">
        <f t="shared" si="8"/>
        <v>0.99112914287060117</v>
      </c>
      <c r="N59" s="19">
        <f t="shared" si="8"/>
        <v>0.97994647081690589</v>
      </c>
      <c r="P59" s="215"/>
      <c r="Q59" s="215"/>
      <c r="R59" s="215"/>
      <c r="S59" s="215"/>
      <c r="T59" s="215"/>
      <c r="U59" s="215"/>
      <c r="V59" s="215"/>
      <c r="W59" s="215"/>
    </row>
    <row r="60" spans="1:24" x14ac:dyDescent="0.25">
      <c r="A60">
        <v>2019</v>
      </c>
      <c r="D60" s="6"/>
      <c r="H60" s="19">
        <f t="shared" si="8"/>
        <v>1.0029917268468389</v>
      </c>
      <c r="I60" s="19">
        <f t="shared" si="8"/>
        <v>0.98321141415219904</v>
      </c>
      <c r="J60" s="19">
        <f t="shared" si="8"/>
        <v>0.98076618002798732</v>
      </c>
      <c r="K60" s="19">
        <f t="shared" si="8"/>
        <v>0.94854970834596619</v>
      </c>
      <c r="L60" s="19">
        <f t="shared" si="8"/>
        <v>1.0023496511741083</v>
      </c>
      <c r="M60" s="19">
        <f t="shared" si="8"/>
        <v>1.0005272877025353</v>
      </c>
      <c r="N60" s="19">
        <f t="shared" si="8"/>
        <v>1.0428978381770486</v>
      </c>
      <c r="P60" s="215"/>
      <c r="Q60" s="215"/>
      <c r="R60" s="215"/>
      <c r="S60" s="215"/>
      <c r="T60" s="215"/>
      <c r="U60" s="215"/>
      <c r="V60" s="215"/>
      <c r="W60" s="215"/>
    </row>
    <row r="61" spans="1:24" x14ac:dyDescent="0.25">
      <c r="A61" s="3"/>
      <c r="D61" s="6"/>
      <c r="E61" s="6"/>
      <c r="F61" s="6"/>
      <c r="H61" s="21"/>
      <c r="I61" s="21"/>
      <c r="J61" s="21"/>
      <c r="K61" s="21"/>
      <c r="L61" s="21"/>
      <c r="M61" s="21"/>
      <c r="N61" s="21"/>
    </row>
    <row r="62" spans="1:24" x14ac:dyDescent="0.25">
      <c r="A62" t="s">
        <v>17</v>
      </c>
      <c r="D62" s="6"/>
      <c r="H62" s="19">
        <f t="shared" ref="H62:N62" si="9">H64</f>
        <v>1.0151049557589322</v>
      </c>
      <c r="I62" s="19">
        <f t="shared" si="9"/>
        <v>0.99978907818979235</v>
      </c>
      <c r="J62" s="19">
        <f t="shared" si="9"/>
        <v>0.98564053972049315</v>
      </c>
      <c r="K62" s="19">
        <f t="shared" si="9"/>
        <v>0.97031735945217557</v>
      </c>
      <c r="L62" s="19">
        <f t="shared" si="9"/>
        <v>0.99899812260613774</v>
      </c>
      <c r="M62" s="19">
        <f t="shared" si="9"/>
        <v>0.94128749267579903</v>
      </c>
      <c r="N62" s="19">
        <f t="shared" si="9"/>
        <v>1.0072751997992335</v>
      </c>
    </row>
    <row r="63" spans="1:24" ht="13" thickBot="1" x14ac:dyDescent="0.3">
      <c r="A63" s="3"/>
      <c r="D63" s="6"/>
      <c r="H63" s="9"/>
      <c r="I63" s="9"/>
      <c r="K63" s="8"/>
      <c r="L63" s="8"/>
      <c r="M63" s="8"/>
      <c r="N63" s="8"/>
    </row>
    <row r="64" spans="1:24" ht="13.5" thickBot="1" x14ac:dyDescent="0.35">
      <c r="A64" t="s">
        <v>118</v>
      </c>
      <c r="D64" s="6"/>
      <c r="H64" s="53">
        <f>GEOMEAN(H58:H60)</f>
        <v>1.0151049557589322</v>
      </c>
      <c r="I64" s="53">
        <f t="shared" ref="I64:N64" si="10">GEOMEAN(I58:I60)</f>
        <v>0.99978907818979235</v>
      </c>
      <c r="J64" s="53">
        <f t="shared" si="10"/>
        <v>0.98564053972049315</v>
      </c>
      <c r="K64" s="53">
        <f t="shared" si="10"/>
        <v>0.97031735945217557</v>
      </c>
      <c r="L64" s="53">
        <f t="shared" si="10"/>
        <v>0.99899812260613774</v>
      </c>
      <c r="M64" s="53">
        <f t="shared" si="10"/>
        <v>0.94128749267579903</v>
      </c>
      <c r="N64" s="53">
        <f t="shared" si="10"/>
        <v>1.0072751997992335</v>
      </c>
      <c r="O64" s="466" t="s">
        <v>159</v>
      </c>
      <c r="P64" s="467"/>
      <c r="R64" s="204"/>
      <c r="S64" s="204"/>
      <c r="T64" s="204"/>
      <c r="U64" s="204"/>
      <c r="V64" s="204"/>
      <c r="W64" s="204"/>
      <c r="X64" s="204"/>
    </row>
    <row r="65" spans="1:19" x14ac:dyDescent="0.25">
      <c r="D65" s="6"/>
      <c r="H65" s="19"/>
      <c r="I65" s="19"/>
      <c r="J65" s="19"/>
      <c r="K65" s="19"/>
      <c r="L65" s="19"/>
      <c r="M65" s="19"/>
      <c r="N65" s="19"/>
    </row>
    <row r="66" spans="1:19" ht="13" x14ac:dyDescent="0.3">
      <c r="A66" s="13" t="s">
        <v>41</v>
      </c>
    </row>
    <row r="67" spans="1:19" x14ac:dyDescent="0.25">
      <c r="A67" s="210">
        <v>2020</v>
      </c>
      <c r="G67" s="6">
        <f>SUM(H67:N67)</f>
        <v>497930978.73158717</v>
      </c>
      <c r="H67" s="6">
        <f>+H44*'Rate Class Customer Model'!B24</f>
        <v>201175247.48469946</v>
      </c>
      <c r="I67" s="6">
        <f>+I44*'Rate Class Customer Model'!C24</f>
        <v>80332664.262872502</v>
      </c>
      <c r="J67" s="6">
        <f>+J44*'Rate Class Customer Model'!D24</f>
        <v>199330186.732921</v>
      </c>
      <c r="K67" s="6">
        <f>+K44*'Rate Class Customer Model'!E24</f>
        <v>14897243.509943135</v>
      </c>
      <c r="L67" s="6">
        <f>+L44*'Rate Class Customer Model'!F24</f>
        <v>2036368.7200000002</v>
      </c>
      <c r="M67" s="6">
        <f>+M44*'Rate Class Customer Model'!G24</f>
        <v>119778.32115107913</v>
      </c>
      <c r="N67" s="6">
        <f>+N44*'Rate Class Customer Model'!H24</f>
        <v>39489.699999999997</v>
      </c>
    </row>
    <row r="68" spans="1:19" x14ac:dyDescent="0.25">
      <c r="A68">
        <v>2021</v>
      </c>
      <c r="F68" s="6"/>
      <c r="G68" s="6">
        <f>SUM(H68:N68)</f>
        <v>500146068.10489124</v>
      </c>
      <c r="H68" s="6">
        <f>+H45*'Rate Class Customer Model'!B25</f>
        <v>204558882.03125903</v>
      </c>
      <c r="I68" s="6">
        <f>+I45*'Rate Class Customer Model'!C25</f>
        <v>80255127.579103217</v>
      </c>
      <c r="J68" s="6">
        <f>+J45*'Rate Class Customer Model'!D25</f>
        <v>198683716.36222622</v>
      </c>
      <c r="K68" s="6">
        <f>+K45*'Rate Class Customer Model'!E25</f>
        <v>14455053.985684082</v>
      </c>
      <c r="L68" s="6">
        <f>+L45*'Rate Class Customer Model'!F25</f>
        <v>2036368.7200000002</v>
      </c>
      <c r="M68" s="6">
        <f>+M45*'Rate Class Customer Model'!G25</f>
        <v>117429.72661870504</v>
      </c>
      <c r="N68" s="6">
        <f>+N45*'Rate Class Customer Model'!H25</f>
        <v>39489.699999999997</v>
      </c>
    </row>
    <row r="69" spans="1:19" x14ac:dyDescent="0.25">
      <c r="Q69" s="468"/>
    </row>
    <row r="70" spans="1:19" ht="13" x14ac:dyDescent="0.3">
      <c r="A70" s="13" t="s">
        <v>166</v>
      </c>
      <c r="O70" s="6" t="s">
        <v>16</v>
      </c>
      <c r="P70" s="6" t="s">
        <v>177</v>
      </c>
      <c r="Q70" s="469"/>
    </row>
    <row r="71" spans="1:19" x14ac:dyDescent="0.25">
      <c r="A71">
        <f>A67</f>
        <v>2020</v>
      </c>
      <c r="G71" s="15">
        <f>G21</f>
        <v>494560346.33527142</v>
      </c>
      <c r="H71" s="21">
        <f t="shared" ref="H71:N72" si="11">H67+H80-H83+H88</f>
        <v>199682216.91900477</v>
      </c>
      <c r="I71" s="21">
        <f t="shared" si="11"/>
        <v>79636963.846008897</v>
      </c>
      <c r="J71" s="21">
        <f t="shared" si="11"/>
        <v>195503598.31916356</v>
      </c>
      <c r="K71" s="21">
        <f t="shared" si="11"/>
        <v>14897243.509943135</v>
      </c>
      <c r="L71" s="21">
        <f t="shared" si="11"/>
        <v>2036368.7200000002</v>
      </c>
      <c r="M71" s="21">
        <f t="shared" si="11"/>
        <v>119778.32115107913</v>
      </c>
      <c r="N71" s="21">
        <f t="shared" si="11"/>
        <v>39489.699999999997</v>
      </c>
      <c r="O71" s="55">
        <f>SUM(H71:N71)</f>
        <v>491915659.33527148</v>
      </c>
      <c r="P71" s="6">
        <f>O83</f>
        <v>2644687</v>
      </c>
      <c r="Q71" s="269"/>
      <c r="R71" s="6">
        <f>SUM(O71:Q71)</f>
        <v>494560346.33527148</v>
      </c>
      <c r="S71" s="6">
        <f>R71-G71</f>
        <v>0</v>
      </c>
    </row>
    <row r="72" spans="1:19" x14ac:dyDescent="0.25">
      <c r="A72">
        <f>A68</f>
        <v>2021</v>
      </c>
      <c r="F72" s="6"/>
      <c r="G72" s="15">
        <f>G22</f>
        <v>493731526.87026399</v>
      </c>
      <c r="H72" s="21">
        <f t="shared" si="11"/>
        <v>201705111.05903772</v>
      </c>
      <c r="I72" s="21">
        <f t="shared" si="11"/>
        <v>79035853.179389015</v>
      </c>
      <c r="J72" s="21">
        <f t="shared" si="11"/>
        <v>193697533.49953446</v>
      </c>
      <c r="K72" s="21">
        <f t="shared" si="11"/>
        <v>14455053.985684082</v>
      </c>
      <c r="L72" s="21">
        <f t="shared" si="11"/>
        <v>2036368.7200000002</v>
      </c>
      <c r="M72" s="21">
        <f t="shared" si="11"/>
        <v>117429.72661870504</v>
      </c>
      <c r="N72" s="21">
        <f t="shared" si="11"/>
        <v>39489.699999999997</v>
      </c>
      <c r="O72" s="55">
        <f>SUM(H72:N72)</f>
        <v>491086839.87026399</v>
      </c>
      <c r="P72" s="6">
        <f>O84</f>
        <v>2644687</v>
      </c>
      <c r="Q72" s="269"/>
      <c r="R72" s="6">
        <f>SUM(O72:Q72)</f>
        <v>493731526.87026399</v>
      </c>
      <c r="S72" s="6">
        <f>R72-G72</f>
        <v>0</v>
      </c>
    </row>
    <row r="73" spans="1:19" x14ac:dyDescent="0.25">
      <c r="F73" s="6"/>
      <c r="G73" s="21"/>
      <c r="H73" s="21"/>
      <c r="I73" s="21"/>
      <c r="J73" s="21"/>
      <c r="K73" s="21"/>
      <c r="L73" s="21"/>
      <c r="M73" s="21"/>
      <c r="N73" s="21"/>
      <c r="O73" s="55"/>
    </row>
    <row r="74" spans="1:19" x14ac:dyDescent="0.25">
      <c r="I74" s="39"/>
      <c r="J74" s="39" t="s">
        <v>60</v>
      </c>
      <c r="K74" s="39"/>
    </row>
    <row r="75" spans="1:19" ht="13" x14ac:dyDescent="0.3">
      <c r="A75" t="s">
        <v>42</v>
      </c>
      <c r="H75" s="38">
        <v>0.91</v>
      </c>
      <c r="I75" s="38">
        <v>0.91</v>
      </c>
      <c r="J75" s="38">
        <v>0.81620000000000004</v>
      </c>
      <c r="K75" s="38">
        <v>0</v>
      </c>
      <c r="L75" s="38">
        <v>0</v>
      </c>
      <c r="M75" s="38">
        <v>0</v>
      </c>
      <c r="N75" s="38">
        <v>0</v>
      </c>
      <c r="O75" s="6" t="s">
        <v>16</v>
      </c>
      <c r="P75" s="402"/>
      <c r="Q75" s="21"/>
    </row>
    <row r="76" spans="1:19" x14ac:dyDescent="0.25">
      <c r="A76">
        <f>A71</f>
        <v>2020</v>
      </c>
      <c r="G76" s="21">
        <f>G71-G67</f>
        <v>-3370632.3963157535</v>
      </c>
      <c r="H76" s="21">
        <f>H67*H75</f>
        <v>183069475.2110765</v>
      </c>
      <c r="I76" s="21">
        <f t="shared" ref="I76:N76" si="12">I67*I75</f>
        <v>73102724.479213983</v>
      </c>
      <c r="J76" s="21">
        <f t="shared" si="12"/>
        <v>162693298.41141012</v>
      </c>
      <c r="K76" s="21">
        <f t="shared" si="12"/>
        <v>0</v>
      </c>
      <c r="L76" s="21">
        <f t="shared" si="12"/>
        <v>0</v>
      </c>
      <c r="M76" s="21">
        <f t="shared" si="12"/>
        <v>0</v>
      </c>
      <c r="N76" s="21">
        <f t="shared" si="12"/>
        <v>0</v>
      </c>
      <c r="O76" s="6">
        <f>SUM(H76:N76)</f>
        <v>418865498.1017006</v>
      </c>
    </row>
    <row r="77" spans="1:19" x14ac:dyDescent="0.25">
      <c r="A77">
        <f>A72</f>
        <v>2021</v>
      </c>
      <c r="F77" s="46"/>
      <c r="G77" s="21">
        <f>G72-G68</f>
        <v>-6414541.2346272469</v>
      </c>
      <c r="H77" s="21">
        <f>H68*H75</f>
        <v>186148582.64844573</v>
      </c>
      <c r="I77" s="21">
        <f t="shared" ref="I77:N77" si="13">I68*I75</f>
        <v>73032166.096983925</v>
      </c>
      <c r="J77" s="21">
        <f t="shared" si="13"/>
        <v>162165649.29484904</v>
      </c>
      <c r="K77" s="21">
        <f t="shared" si="13"/>
        <v>0</v>
      </c>
      <c r="L77" s="21">
        <f t="shared" si="13"/>
        <v>0</v>
      </c>
      <c r="M77" s="21">
        <f t="shared" si="13"/>
        <v>0</v>
      </c>
      <c r="N77" s="21">
        <f t="shared" si="13"/>
        <v>0</v>
      </c>
      <c r="O77" s="6">
        <f>SUM(H77:N77)</f>
        <v>421346398.04027867</v>
      </c>
    </row>
    <row r="78" spans="1:19" ht="12" customHeight="1" x14ac:dyDescent="0.25">
      <c r="G78" s="21"/>
      <c r="H78" s="21"/>
      <c r="I78" s="21"/>
      <c r="J78" s="21"/>
      <c r="K78" s="21"/>
    </row>
    <row r="79" spans="1:19" x14ac:dyDescent="0.25">
      <c r="A79" t="s">
        <v>43</v>
      </c>
      <c r="G79" s="21"/>
      <c r="H79" s="21"/>
      <c r="I79" s="21"/>
      <c r="J79" s="21"/>
      <c r="K79" s="21"/>
    </row>
    <row r="80" spans="1:19" x14ac:dyDescent="0.25">
      <c r="A80">
        <f>A76</f>
        <v>2020</v>
      </c>
      <c r="G80" s="21"/>
      <c r="H80" s="21">
        <f>H76/$O$76*$G$76</f>
        <v>-1473169.5656947042</v>
      </c>
      <c r="I80" s="21">
        <f t="shared" ref="I80:N80" si="14">I76/$O$76*$G$76</f>
        <v>-588261.41686359851</v>
      </c>
      <c r="J80" s="21">
        <f t="shared" si="14"/>
        <v>-1309201.4137574509</v>
      </c>
      <c r="K80" s="21">
        <f t="shared" si="14"/>
        <v>0</v>
      </c>
      <c r="L80" s="21">
        <f t="shared" si="14"/>
        <v>0</v>
      </c>
      <c r="M80" s="21">
        <f t="shared" si="14"/>
        <v>0</v>
      </c>
      <c r="N80" s="21">
        <f t="shared" si="14"/>
        <v>0</v>
      </c>
      <c r="O80" s="6">
        <f>SUM(H80:N80)</f>
        <v>-3370632.3963157535</v>
      </c>
    </row>
    <row r="81" spans="1:22" x14ac:dyDescent="0.25">
      <c r="A81">
        <f>A77</f>
        <v>2021</v>
      </c>
      <c r="G81" s="21"/>
      <c r="H81" s="21">
        <f t="shared" ref="H81:N81" si="15">H77/$O$77*$G$77</f>
        <v>-2833909.9722213056</v>
      </c>
      <c r="I81" s="21">
        <f t="shared" si="15"/>
        <v>-1111835.3997141947</v>
      </c>
      <c r="J81" s="21">
        <f t="shared" si="15"/>
        <v>-2468795.862691747</v>
      </c>
      <c r="K81" s="21">
        <f t="shared" si="15"/>
        <v>0</v>
      </c>
      <c r="L81" s="21">
        <f t="shared" si="15"/>
        <v>0</v>
      </c>
      <c r="M81" s="21">
        <f t="shared" si="15"/>
        <v>0</v>
      </c>
      <c r="N81" s="21">
        <f t="shared" si="15"/>
        <v>0</v>
      </c>
      <c r="O81" s="6">
        <f>SUM(H81:N81)</f>
        <v>-6414541.2346272469</v>
      </c>
      <c r="P81" s="183"/>
      <c r="Q81" s="21"/>
      <c r="R81" s="21"/>
    </row>
    <row r="83" spans="1:22" s="25" customFormat="1" ht="13" x14ac:dyDescent="0.3">
      <c r="A83" s="287" t="s">
        <v>182</v>
      </c>
      <c r="B83" s="129"/>
      <c r="C83" s="129"/>
      <c r="D83" s="129"/>
      <c r="E83" s="129"/>
      <c r="F83" s="129"/>
      <c r="G83" s="130">
        <v>2020</v>
      </c>
      <c r="H83" s="21">
        <v>19861</v>
      </c>
      <c r="I83" s="21">
        <v>107439</v>
      </c>
      <c r="J83" s="21">
        <v>2517387</v>
      </c>
      <c r="K83" s="21"/>
      <c r="L83" s="21"/>
      <c r="M83" s="21"/>
      <c r="N83" s="21"/>
      <c r="O83" s="21">
        <f>+H83+I83+J83</f>
        <v>2644687</v>
      </c>
      <c r="P83" s="21"/>
      <c r="Q83" s="21"/>
      <c r="R83" s="21"/>
      <c r="S83" s="21"/>
      <c r="T83" s="21"/>
    </row>
    <row r="84" spans="1:22" s="25" customFormat="1" x14ac:dyDescent="0.25">
      <c r="A84" s="130"/>
      <c r="B84" s="129"/>
      <c r="C84" s="129"/>
      <c r="D84" s="129"/>
      <c r="E84" s="129"/>
      <c r="F84" s="129"/>
      <c r="G84" s="130">
        <v>2021</v>
      </c>
      <c r="H84" s="21">
        <v>19861</v>
      </c>
      <c r="I84" s="21">
        <v>107439</v>
      </c>
      <c r="J84" s="21">
        <v>2517387</v>
      </c>
      <c r="K84" s="21"/>
      <c r="L84" s="21"/>
      <c r="M84" s="21"/>
      <c r="N84" s="21"/>
      <c r="O84" s="21">
        <f>+H84+I84+J84</f>
        <v>2644687</v>
      </c>
      <c r="P84" s="21"/>
      <c r="Q84" s="21"/>
      <c r="R84" s="21"/>
      <c r="S84" s="21"/>
      <c r="T84" s="21"/>
    </row>
    <row r="85" spans="1:22" x14ac:dyDescent="0.25">
      <c r="G85" s="21"/>
      <c r="H85" s="21"/>
      <c r="I85" s="21"/>
      <c r="J85" s="21"/>
      <c r="K85" s="21"/>
      <c r="L85" s="21"/>
      <c r="M85" s="21"/>
      <c r="N85" s="21"/>
      <c r="P85" s="21"/>
      <c r="Q85" s="21"/>
      <c r="R85" s="21"/>
      <c r="S85" s="21"/>
      <c r="T85" s="21"/>
      <c r="U85" s="25"/>
      <c r="V85" s="25"/>
    </row>
    <row r="86" spans="1:22" x14ac:dyDescent="0.25">
      <c r="A86" s="130"/>
      <c r="B86" s="17"/>
      <c r="C86" s="17"/>
      <c r="D86" s="17"/>
      <c r="E86" s="17"/>
      <c r="F86" s="377"/>
      <c r="G86" s="130"/>
      <c r="H86" s="47"/>
      <c r="I86" s="47"/>
      <c r="J86" s="47"/>
      <c r="K86" s="47"/>
      <c r="L86" s="21"/>
      <c r="M86" s="21"/>
      <c r="N86" s="21"/>
      <c r="O86" s="21"/>
      <c r="P86" s="21"/>
      <c r="Q86" s="21"/>
      <c r="R86" s="21"/>
      <c r="S86" s="21"/>
      <c r="T86" s="21"/>
      <c r="U86" s="25"/>
      <c r="V86" s="25"/>
    </row>
    <row r="87" spans="1:22" x14ac:dyDescent="0.25">
      <c r="A87" s="25"/>
      <c r="B87" s="17"/>
      <c r="C87" s="17"/>
      <c r="D87" s="17"/>
      <c r="E87" s="17"/>
      <c r="F87" s="17"/>
      <c r="G87" s="25"/>
      <c r="H87" s="47"/>
      <c r="I87" s="47"/>
      <c r="J87" s="47"/>
      <c r="K87" s="47"/>
      <c r="L87" s="21"/>
      <c r="M87" s="21"/>
      <c r="N87" s="21"/>
      <c r="O87" s="21"/>
      <c r="P87" s="21"/>
      <c r="Q87" s="21"/>
      <c r="R87" s="21"/>
      <c r="S87" s="21"/>
      <c r="T87" s="21"/>
      <c r="U87" s="25"/>
      <c r="V87" s="25"/>
    </row>
    <row r="88" spans="1:22" x14ac:dyDescent="0.25">
      <c r="A88" s="25"/>
      <c r="B88" s="17"/>
      <c r="C88" s="17"/>
      <c r="D88" s="17"/>
      <c r="E88" s="17"/>
      <c r="F88" s="17"/>
      <c r="G88" s="130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5"/>
      <c r="V88" s="25"/>
    </row>
    <row r="89" spans="1:22" x14ac:dyDescent="0.25">
      <c r="A89" s="25"/>
      <c r="B89" s="17"/>
      <c r="C89" s="17"/>
      <c r="D89" s="17"/>
      <c r="E89" s="17"/>
      <c r="F89" s="17"/>
      <c r="G89" s="25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5"/>
      <c r="V89" s="25"/>
    </row>
    <row r="90" spans="1:22" x14ac:dyDescent="0.25">
      <c r="F90" s="187"/>
      <c r="G90" s="185"/>
      <c r="H90" s="161"/>
      <c r="I90" s="161"/>
      <c r="J90" s="161"/>
      <c r="K90" s="161"/>
      <c r="L90" s="161"/>
      <c r="M90" s="185"/>
      <c r="N90" s="185"/>
      <c r="O90" s="185"/>
    </row>
    <row r="91" spans="1:22" x14ac:dyDescent="0.25">
      <c r="F91" s="184"/>
      <c r="G91" s="185"/>
      <c r="H91" s="185"/>
      <c r="I91" s="185"/>
      <c r="J91" s="185"/>
      <c r="K91" s="185"/>
      <c r="L91" s="185"/>
      <c r="M91" s="185"/>
      <c r="N91" s="185"/>
      <c r="O91" s="185"/>
    </row>
    <row r="92" spans="1:22" x14ac:dyDescent="0.25">
      <c r="F92" s="186"/>
      <c r="G92" s="185"/>
      <c r="H92" s="185"/>
      <c r="I92" s="185"/>
      <c r="J92" s="185"/>
      <c r="K92" s="185"/>
      <c r="L92" s="185"/>
      <c r="M92" s="185"/>
      <c r="N92" s="185"/>
      <c r="O92" s="185"/>
    </row>
    <row r="93" spans="1:22" x14ac:dyDescent="0.25">
      <c r="F93" s="186"/>
      <c r="G93" s="185"/>
      <c r="H93" s="185"/>
      <c r="I93" s="185"/>
      <c r="J93" s="185"/>
      <c r="K93" s="185"/>
      <c r="L93" s="185"/>
      <c r="M93" s="185"/>
      <c r="N93" s="185"/>
      <c r="O93" s="185"/>
    </row>
    <row r="94" spans="1:22" s="121" customFormat="1" x14ac:dyDescent="0.25">
      <c r="B94" s="126"/>
      <c r="C94" s="126"/>
      <c r="D94" s="126"/>
      <c r="E94" s="126"/>
      <c r="F94" s="378"/>
      <c r="G94" s="122"/>
      <c r="H94" s="122"/>
      <c r="I94" s="122"/>
      <c r="J94" s="122"/>
      <c r="K94" s="122"/>
      <c r="L94" s="122"/>
      <c r="M94" s="122"/>
      <c r="N94" s="122"/>
      <c r="O94" s="122"/>
      <c r="P94" s="122"/>
      <c r="Q94" s="122"/>
      <c r="R94" s="122"/>
      <c r="S94" s="122"/>
      <c r="T94" s="122"/>
    </row>
    <row r="95" spans="1:22" s="121" customFormat="1" ht="13" x14ac:dyDescent="0.3">
      <c r="A95" s="388"/>
      <c r="B95" s="126"/>
      <c r="C95" s="126"/>
      <c r="D95" s="126"/>
      <c r="E95" s="126"/>
      <c r="F95" s="389"/>
      <c r="G95" s="122"/>
      <c r="H95" s="379"/>
      <c r="I95" s="379"/>
      <c r="J95" s="379"/>
      <c r="K95" s="379"/>
      <c r="L95" s="379"/>
      <c r="M95" s="122"/>
      <c r="N95" s="122"/>
      <c r="O95" s="122"/>
      <c r="P95" s="122"/>
      <c r="Q95" s="122"/>
      <c r="R95" s="122"/>
      <c r="S95" s="122"/>
      <c r="T95" s="122"/>
    </row>
    <row r="96" spans="1:22" s="121" customFormat="1" x14ac:dyDescent="0.25">
      <c r="B96" s="240"/>
      <c r="C96" s="379"/>
      <c r="D96" s="381"/>
      <c r="E96" s="126"/>
      <c r="F96" s="389"/>
      <c r="G96" s="241"/>
      <c r="H96" s="122"/>
      <c r="I96" s="122"/>
      <c r="J96" s="122"/>
      <c r="K96" s="122"/>
      <c r="L96" s="122"/>
      <c r="M96" s="122"/>
      <c r="N96" s="122"/>
      <c r="O96" s="122"/>
      <c r="P96" s="122"/>
      <c r="Q96" s="122"/>
      <c r="R96" s="122"/>
      <c r="S96" s="122"/>
      <c r="T96" s="122"/>
    </row>
    <row r="97" spans="2:20" s="121" customFormat="1" x14ac:dyDescent="0.25">
      <c r="B97" s="126"/>
      <c r="C97" s="126"/>
      <c r="D97" s="126"/>
      <c r="E97" s="126"/>
      <c r="F97" s="126"/>
      <c r="G97" s="123"/>
      <c r="H97" s="122"/>
      <c r="I97" s="122"/>
      <c r="J97" s="122"/>
      <c r="K97" s="122"/>
      <c r="L97" s="122"/>
      <c r="M97" s="122"/>
      <c r="N97" s="122"/>
      <c r="O97" s="122"/>
      <c r="P97" s="122"/>
      <c r="Q97" s="122"/>
      <c r="R97" s="122"/>
      <c r="S97" s="122"/>
      <c r="T97" s="122"/>
    </row>
    <row r="98" spans="2:20" s="121" customFormat="1" x14ac:dyDescent="0.25">
      <c r="B98" s="240"/>
      <c r="C98" s="379"/>
      <c r="D98" s="240"/>
      <c r="E98" s="126"/>
      <c r="F98" s="378"/>
      <c r="G98" s="382"/>
      <c r="H98" s="122"/>
      <c r="I98" s="122"/>
      <c r="J98" s="122"/>
      <c r="K98" s="122"/>
      <c r="L98" s="122"/>
      <c r="M98" s="122"/>
      <c r="N98" s="122"/>
      <c r="O98" s="122"/>
      <c r="P98" s="122"/>
      <c r="Q98" s="122"/>
      <c r="R98" s="122"/>
      <c r="S98" s="122"/>
      <c r="T98" s="122"/>
    </row>
    <row r="99" spans="2:20" s="121" customFormat="1" x14ac:dyDescent="0.25">
      <c r="B99" s="126"/>
      <c r="C99" s="379"/>
      <c r="D99" s="240"/>
      <c r="E99" s="126"/>
      <c r="F99" s="389"/>
      <c r="G99" s="382"/>
      <c r="H99" s="379"/>
      <c r="I99" s="379"/>
      <c r="J99" s="379"/>
      <c r="K99" s="379"/>
      <c r="L99" s="379"/>
      <c r="M99" s="122"/>
      <c r="N99" s="122"/>
      <c r="O99" s="122"/>
      <c r="P99" s="122"/>
      <c r="Q99" s="122"/>
      <c r="R99" s="122"/>
      <c r="S99" s="122"/>
      <c r="T99" s="122"/>
    </row>
    <row r="100" spans="2:20" s="121" customFormat="1" x14ac:dyDescent="0.25">
      <c r="B100" s="126"/>
      <c r="C100" s="126"/>
      <c r="D100" s="126"/>
      <c r="E100" s="126"/>
      <c r="F100" s="383"/>
      <c r="G100" s="383"/>
      <c r="H100" s="379"/>
      <c r="I100" s="379"/>
      <c r="J100" s="379"/>
      <c r="K100" s="379"/>
      <c r="L100" s="379"/>
      <c r="M100" s="122"/>
      <c r="N100" s="122"/>
      <c r="O100" s="122"/>
      <c r="P100" s="122"/>
      <c r="Q100" s="122"/>
      <c r="R100" s="122"/>
      <c r="S100" s="122"/>
      <c r="T100" s="122"/>
    </row>
    <row r="101" spans="2:20" s="121" customFormat="1" x14ac:dyDescent="0.25">
      <c r="B101" s="126"/>
      <c r="C101" s="379"/>
      <c r="D101" s="240"/>
      <c r="E101" s="126"/>
      <c r="F101" s="389"/>
      <c r="G101" s="123"/>
      <c r="H101" s="379"/>
      <c r="I101" s="379"/>
      <c r="J101" s="379"/>
      <c r="K101" s="379"/>
      <c r="L101" s="379"/>
      <c r="M101" s="122"/>
      <c r="N101" s="122"/>
      <c r="O101" s="122"/>
      <c r="P101" s="122"/>
      <c r="Q101" s="122"/>
      <c r="R101" s="122"/>
      <c r="S101" s="122"/>
      <c r="T101" s="122"/>
    </row>
    <row r="102" spans="2:20" s="121" customFormat="1" x14ac:dyDescent="0.25">
      <c r="B102" s="126"/>
      <c r="C102" s="379"/>
      <c r="D102" s="240"/>
      <c r="E102" s="126"/>
      <c r="F102" s="389"/>
      <c r="G102" s="382"/>
      <c r="H102" s="379"/>
      <c r="I102" s="379"/>
      <c r="J102" s="379"/>
      <c r="K102" s="379"/>
      <c r="L102" s="379"/>
      <c r="M102" s="122"/>
      <c r="N102" s="122"/>
      <c r="O102" s="122"/>
      <c r="P102" s="122"/>
      <c r="Q102" s="122"/>
      <c r="R102" s="122"/>
      <c r="S102" s="122"/>
      <c r="T102" s="122"/>
    </row>
    <row r="103" spans="2:20" s="121" customFormat="1" x14ac:dyDescent="0.25">
      <c r="B103" s="126"/>
      <c r="C103" s="379"/>
      <c r="D103" s="240"/>
      <c r="E103" s="381"/>
      <c r="F103" s="390"/>
      <c r="G103" s="382"/>
      <c r="H103" s="122"/>
      <c r="I103" s="122"/>
      <c r="J103" s="122"/>
      <c r="K103" s="122"/>
      <c r="L103" s="122"/>
      <c r="M103" s="122"/>
      <c r="N103" s="122"/>
      <c r="O103" s="122"/>
      <c r="P103" s="122"/>
      <c r="Q103" s="122"/>
      <c r="R103" s="122"/>
      <c r="S103" s="122"/>
      <c r="T103" s="122"/>
    </row>
    <row r="104" spans="2:20" s="121" customFormat="1" x14ac:dyDescent="0.25">
      <c r="B104" s="126"/>
      <c r="C104" s="379"/>
      <c r="D104" s="240"/>
      <c r="E104" s="126"/>
      <c r="F104" s="390"/>
      <c r="G104" s="122"/>
      <c r="H104" s="122"/>
      <c r="I104" s="122"/>
      <c r="J104" s="122"/>
      <c r="K104" s="122"/>
      <c r="L104" s="122"/>
      <c r="M104" s="122"/>
      <c r="N104" s="122"/>
      <c r="O104" s="122"/>
      <c r="P104" s="122"/>
      <c r="Q104" s="122"/>
      <c r="R104" s="122"/>
      <c r="S104" s="122"/>
      <c r="T104" s="122"/>
    </row>
    <row r="105" spans="2:20" s="121" customFormat="1" x14ac:dyDescent="0.25">
      <c r="B105" s="126"/>
      <c r="C105" s="379"/>
      <c r="D105" s="126"/>
      <c r="E105" s="126"/>
      <c r="F105" s="389"/>
      <c r="G105" s="383"/>
      <c r="H105" s="122"/>
      <c r="I105" s="122"/>
      <c r="J105" s="122"/>
      <c r="K105" s="122"/>
      <c r="L105" s="122"/>
      <c r="M105" s="122"/>
      <c r="N105" s="122"/>
      <c r="O105" s="122"/>
      <c r="P105" s="122"/>
      <c r="Q105" s="122"/>
      <c r="R105" s="122"/>
      <c r="S105" s="122"/>
      <c r="T105" s="122"/>
    </row>
    <row r="106" spans="2:20" s="121" customFormat="1" x14ac:dyDescent="0.25">
      <c r="B106" s="126"/>
      <c r="C106" s="379"/>
      <c r="D106" s="381"/>
      <c r="E106" s="126"/>
      <c r="F106" s="126"/>
      <c r="G106" s="123"/>
      <c r="H106" s="122"/>
      <c r="I106" s="122"/>
      <c r="J106" s="122"/>
      <c r="K106" s="122"/>
      <c r="L106" s="122"/>
      <c r="M106" s="384"/>
      <c r="N106" s="122"/>
      <c r="O106" s="122"/>
      <c r="P106" s="122"/>
      <c r="Q106" s="122"/>
      <c r="R106" s="122"/>
      <c r="S106" s="122"/>
      <c r="T106" s="122"/>
    </row>
    <row r="107" spans="2:20" s="121" customFormat="1" x14ac:dyDescent="0.25">
      <c r="B107" s="126"/>
      <c r="C107" s="379"/>
      <c r="D107" s="240"/>
      <c r="E107" s="126"/>
      <c r="F107" s="126"/>
      <c r="G107" s="123"/>
      <c r="H107" s="122"/>
      <c r="I107" s="122"/>
      <c r="J107" s="122"/>
      <c r="K107" s="122"/>
      <c r="L107" s="122"/>
      <c r="M107" s="384"/>
      <c r="N107" s="122"/>
      <c r="O107" s="122"/>
      <c r="P107" s="122"/>
      <c r="Q107" s="122"/>
      <c r="R107" s="122"/>
      <c r="S107" s="122"/>
      <c r="T107" s="122"/>
    </row>
    <row r="108" spans="2:20" s="121" customFormat="1" x14ac:dyDescent="0.25">
      <c r="B108" s="126"/>
      <c r="C108" s="379"/>
      <c r="D108" s="126"/>
      <c r="E108" s="126"/>
      <c r="F108" s="126"/>
      <c r="G108" s="123"/>
      <c r="H108" s="122"/>
      <c r="I108" s="122"/>
      <c r="J108" s="122"/>
      <c r="K108" s="122"/>
      <c r="L108" s="122"/>
      <c r="M108" s="122"/>
      <c r="N108" s="122"/>
      <c r="O108" s="122"/>
      <c r="P108" s="122"/>
      <c r="Q108" s="122"/>
      <c r="R108" s="122"/>
      <c r="S108" s="122"/>
      <c r="T108" s="122"/>
    </row>
    <row r="109" spans="2:20" s="121" customFormat="1" x14ac:dyDescent="0.25">
      <c r="B109" s="126"/>
      <c r="C109" s="379"/>
      <c r="D109" s="240"/>
      <c r="E109" s="126"/>
      <c r="F109" s="126"/>
      <c r="G109" s="123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  <c r="R109" s="122"/>
      <c r="S109" s="122"/>
      <c r="T109" s="122"/>
    </row>
    <row r="110" spans="2:20" s="121" customFormat="1" x14ac:dyDescent="0.25">
      <c r="B110" s="126"/>
      <c r="C110" s="379"/>
      <c r="D110" s="240"/>
      <c r="E110" s="126"/>
      <c r="F110" s="126"/>
      <c r="G110" s="382"/>
      <c r="H110" s="122"/>
      <c r="I110" s="122"/>
      <c r="J110" s="122"/>
      <c r="K110" s="122"/>
      <c r="L110" s="122"/>
      <c r="M110" s="122"/>
      <c r="N110" s="122"/>
      <c r="O110" s="122"/>
      <c r="P110" s="122"/>
      <c r="Q110" s="122"/>
      <c r="R110" s="122"/>
      <c r="S110" s="122"/>
      <c r="T110" s="122"/>
    </row>
    <row r="111" spans="2:20" s="121" customFormat="1" x14ac:dyDescent="0.25">
      <c r="B111" s="126"/>
      <c r="C111" s="379"/>
      <c r="D111" s="240"/>
      <c r="E111" s="381"/>
      <c r="F111" s="126"/>
      <c r="G111" s="382"/>
      <c r="H111" s="122"/>
      <c r="I111" s="122"/>
      <c r="J111" s="122"/>
      <c r="K111" s="122"/>
      <c r="L111" s="122"/>
      <c r="M111" s="122"/>
      <c r="N111" s="122"/>
      <c r="O111" s="122"/>
      <c r="P111" s="122"/>
      <c r="Q111" s="122"/>
      <c r="R111" s="122"/>
      <c r="S111" s="122"/>
      <c r="T111" s="122"/>
    </row>
    <row r="112" spans="2:20" s="121" customFormat="1" x14ac:dyDescent="0.25">
      <c r="B112" s="126"/>
      <c r="C112" s="379"/>
      <c r="D112" s="240"/>
      <c r="E112" s="126"/>
      <c r="F112" s="126"/>
      <c r="G112" s="122"/>
      <c r="H112" s="122"/>
      <c r="I112" s="122"/>
      <c r="J112" s="122"/>
      <c r="K112" s="122"/>
      <c r="L112" s="122"/>
      <c r="M112" s="122"/>
      <c r="N112" s="122"/>
      <c r="O112" s="122"/>
      <c r="P112" s="122"/>
      <c r="Q112" s="122"/>
      <c r="R112" s="122"/>
      <c r="S112" s="122"/>
      <c r="T112" s="122"/>
    </row>
    <row r="113" spans="2:20" s="121" customFormat="1" x14ac:dyDescent="0.25">
      <c r="B113" s="126"/>
      <c r="C113" s="379"/>
      <c r="D113" s="240"/>
      <c r="E113" s="126"/>
      <c r="F113" s="126"/>
      <c r="G113" s="122"/>
      <c r="H113" s="122"/>
      <c r="I113" s="122"/>
      <c r="J113" s="122"/>
      <c r="K113" s="122"/>
      <c r="L113" s="122"/>
      <c r="M113" s="122"/>
      <c r="N113" s="122"/>
      <c r="O113" s="122"/>
      <c r="P113" s="122"/>
      <c r="Q113" s="122"/>
      <c r="R113" s="122"/>
      <c r="S113" s="122"/>
      <c r="T113" s="122"/>
    </row>
    <row r="114" spans="2:20" s="121" customFormat="1" ht="13" x14ac:dyDescent="0.3">
      <c r="B114" s="126"/>
      <c r="C114" s="385"/>
      <c r="D114" s="386"/>
      <c r="E114" s="126"/>
      <c r="F114" s="126"/>
      <c r="G114" s="122"/>
      <c r="H114" s="122"/>
      <c r="I114" s="122"/>
      <c r="J114" s="122"/>
      <c r="K114" s="122"/>
      <c r="L114" s="122"/>
      <c r="M114" s="122"/>
      <c r="N114" s="122"/>
      <c r="O114" s="122"/>
      <c r="P114" s="122"/>
      <c r="Q114" s="122"/>
      <c r="R114" s="122"/>
      <c r="S114" s="122"/>
      <c r="T114" s="122"/>
    </row>
    <row r="115" spans="2:20" s="121" customFormat="1" x14ac:dyDescent="0.25">
      <c r="B115" s="126"/>
      <c r="C115" s="379"/>
      <c r="D115" s="126"/>
      <c r="E115" s="126"/>
      <c r="F115" s="126"/>
      <c r="G115" s="122"/>
      <c r="H115" s="122"/>
      <c r="I115" s="122"/>
      <c r="J115" s="122"/>
      <c r="K115" s="122"/>
      <c r="L115" s="122"/>
      <c r="M115" s="122"/>
      <c r="N115" s="122"/>
      <c r="O115" s="122"/>
      <c r="P115" s="122"/>
      <c r="Q115" s="122"/>
      <c r="R115" s="122"/>
      <c r="S115" s="122"/>
      <c r="T115" s="122"/>
    </row>
    <row r="116" spans="2:20" s="121" customFormat="1" x14ac:dyDescent="0.25">
      <c r="B116" s="240"/>
      <c r="C116" s="379"/>
      <c r="D116" s="240"/>
      <c r="E116" s="126"/>
      <c r="F116" s="126"/>
      <c r="G116" s="122"/>
      <c r="H116" s="122"/>
      <c r="I116" s="122"/>
      <c r="J116" s="122"/>
      <c r="K116" s="122"/>
      <c r="L116" s="122"/>
      <c r="M116" s="122"/>
      <c r="N116" s="122"/>
      <c r="O116" s="122"/>
      <c r="P116" s="122"/>
      <c r="Q116" s="122"/>
      <c r="R116" s="122"/>
      <c r="S116" s="122"/>
      <c r="T116" s="122"/>
    </row>
    <row r="117" spans="2:20" s="121" customFormat="1" x14ac:dyDescent="0.25">
      <c r="B117" s="126"/>
      <c r="C117" s="379"/>
      <c r="D117" s="240"/>
      <c r="E117" s="240"/>
      <c r="F117" s="126"/>
      <c r="G117" s="122"/>
      <c r="H117" s="122"/>
      <c r="I117" s="122"/>
      <c r="J117" s="122"/>
      <c r="K117" s="122"/>
      <c r="L117" s="122"/>
      <c r="M117" s="122"/>
      <c r="N117" s="122"/>
      <c r="O117" s="122"/>
      <c r="P117" s="122"/>
      <c r="Q117" s="122"/>
      <c r="R117" s="122"/>
      <c r="S117" s="122"/>
      <c r="T117" s="122"/>
    </row>
    <row r="118" spans="2:20" s="121" customFormat="1" x14ac:dyDescent="0.25">
      <c r="B118" s="126"/>
      <c r="C118" s="126"/>
      <c r="D118" s="126"/>
      <c r="E118" s="126"/>
      <c r="F118" s="126"/>
      <c r="G118" s="122"/>
      <c r="H118" s="122"/>
      <c r="I118" s="122"/>
      <c r="J118" s="122"/>
      <c r="K118" s="122"/>
      <c r="L118" s="122"/>
      <c r="M118" s="122"/>
      <c r="N118" s="122"/>
      <c r="O118" s="122"/>
      <c r="P118" s="122"/>
      <c r="Q118" s="122"/>
      <c r="R118" s="122"/>
      <c r="S118" s="122"/>
      <c r="T118" s="122"/>
    </row>
    <row r="119" spans="2:20" s="121" customFormat="1" x14ac:dyDescent="0.25">
      <c r="B119" s="126"/>
      <c r="C119" s="387"/>
      <c r="D119" s="240"/>
      <c r="E119" s="126"/>
      <c r="F119" s="126"/>
      <c r="G119" s="122"/>
      <c r="H119" s="122"/>
      <c r="I119" s="122"/>
      <c r="J119" s="122"/>
      <c r="K119" s="122"/>
      <c r="L119" s="122"/>
      <c r="M119" s="122"/>
      <c r="N119" s="122"/>
      <c r="O119" s="122"/>
      <c r="P119" s="122"/>
      <c r="Q119" s="122"/>
      <c r="R119" s="122"/>
      <c r="S119" s="122"/>
      <c r="T119" s="122"/>
    </row>
    <row r="120" spans="2:20" s="121" customFormat="1" x14ac:dyDescent="0.25">
      <c r="B120" s="126"/>
      <c r="C120" s="379"/>
      <c r="D120" s="240"/>
      <c r="E120" s="126"/>
      <c r="F120" s="126"/>
      <c r="G120" s="122"/>
      <c r="H120" s="122"/>
      <c r="I120" s="122"/>
      <c r="J120" s="122"/>
      <c r="K120" s="122"/>
      <c r="L120" s="122"/>
      <c r="M120" s="122"/>
      <c r="N120" s="122"/>
      <c r="O120" s="122"/>
      <c r="P120" s="122"/>
      <c r="Q120" s="122"/>
      <c r="R120" s="122"/>
      <c r="S120" s="122"/>
      <c r="T120" s="122"/>
    </row>
    <row r="121" spans="2:20" s="121" customFormat="1" x14ac:dyDescent="0.25">
      <c r="B121" s="126"/>
      <c r="C121" s="126"/>
      <c r="D121" s="126"/>
      <c r="E121" s="126"/>
      <c r="F121" s="126"/>
      <c r="G121" s="122"/>
      <c r="H121" s="122"/>
      <c r="I121" s="122"/>
      <c r="J121" s="122"/>
      <c r="K121" s="122"/>
      <c r="L121" s="122"/>
      <c r="M121" s="122"/>
      <c r="N121" s="122"/>
      <c r="O121" s="122"/>
      <c r="P121" s="122"/>
      <c r="Q121" s="122"/>
      <c r="R121" s="122"/>
      <c r="S121" s="122"/>
      <c r="T121" s="122"/>
    </row>
    <row r="122" spans="2:20" s="121" customFormat="1" ht="13" x14ac:dyDescent="0.3">
      <c r="B122" s="126"/>
      <c r="C122" s="391"/>
      <c r="D122" s="386"/>
      <c r="E122" s="126"/>
      <c r="F122" s="126"/>
      <c r="G122" s="122"/>
      <c r="H122" s="122"/>
      <c r="I122" s="122"/>
      <c r="J122" s="122"/>
      <c r="K122" s="122"/>
      <c r="L122" s="122"/>
      <c r="M122" s="122"/>
      <c r="N122" s="122"/>
      <c r="O122" s="122"/>
      <c r="P122" s="122"/>
      <c r="Q122" s="122"/>
      <c r="R122" s="122"/>
      <c r="S122" s="122"/>
      <c r="T122" s="122"/>
    </row>
    <row r="123" spans="2:20" s="121" customFormat="1" x14ac:dyDescent="0.25">
      <c r="B123" s="126"/>
      <c r="C123" s="126"/>
      <c r="D123" s="126"/>
      <c r="E123" s="126"/>
      <c r="F123" s="126"/>
      <c r="G123" s="122"/>
      <c r="H123" s="122"/>
      <c r="I123" s="122"/>
      <c r="J123" s="122"/>
      <c r="K123" s="122"/>
      <c r="L123" s="122"/>
      <c r="M123" s="122"/>
      <c r="N123" s="122"/>
      <c r="O123" s="122"/>
      <c r="P123" s="122"/>
      <c r="Q123" s="122"/>
      <c r="R123" s="122"/>
      <c r="S123" s="122"/>
      <c r="T123" s="122"/>
    </row>
  </sheetData>
  <mergeCells count="2">
    <mergeCell ref="O64:P64"/>
    <mergeCell ref="Q69:Q70"/>
  </mergeCells>
  <phoneticPr fontId="0" type="noConversion"/>
  <pageMargins left="0.39" right="0.26" top="0.23" bottom="0.33" header="0.23" footer="0.16"/>
  <pageSetup scale="43" fitToHeight="100" orientation="landscape" r:id="rId1"/>
  <headerFooter alignWithMargins="0">
    <oddFooter>&amp;C&amp;A
&amp;Z&amp;F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V72"/>
  <sheetViews>
    <sheetView topLeftCell="A4" workbookViewId="0">
      <selection activeCell="K26" sqref="K26"/>
    </sheetView>
  </sheetViews>
  <sheetFormatPr defaultRowHeight="12.5" x14ac:dyDescent="0.25"/>
  <cols>
    <col min="1" max="1" width="19.81640625" customWidth="1"/>
    <col min="2" max="2" width="15.26953125" style="6" customWidth="1"/>
    <col min="3" max="4" width="14.1796875" style="6" bestFit="1" customWidth="1"/>
    <col min="5" max="5" width="17.54296875" style="6" customWidth="1"/>
    <col min="6" max="6" width="12.54296875" style="6" customWidth="1"/>
    <col min="7" max="7" width="11.26953125" style="6" customWidth="1"/>
    <col min="8" max="8" width="11.54296875" style="6" customWidth="1"/>
    <col min="9" max="9" width="12.7265625" style="6" bestFit="1" customWidth="1"/>
    <col min="10" max="10" width="12.7265625" style="6" customWidth="1"/>
    <col min="11" max="11" width="12.7265625" customWidth="1"/>
    <col min="12" max="12" width="12.7265625" bestFit="1" customWidth="1"/>
    <col min="13" max="13" width="11.7265625" bestFit="1" customWidth="1"/>
    <col min="14" max="14" width="10.7265625" bestFit="1" customWidth="1"/>
  </cols>
  <sheetData>
    <row r="1" spans="1:22" ht="13" x14ac:dyDescent="0.3">
      <c r="A1" s="203" t="s">
        <v>134</v>
      </c>
      <c r="D1"/>
      <c r="E1"/>
      <c r="F1"/>
      <c r="G1"/>
      <c r="H1"/>
      <c r="I1"/>
    </row>
    <row r="2" spans="1:22" s="13" customFormat="1" ht="42" customHeight="1" x14ac:dyDescent="0.3">
      <c r="B2" s="198" t="str">
        <f>'Rate Class Energy Model'!H2</f>
        <v xml:space="preserve">Residential </v>
      </c>
      <c r="C2" s="198" t="str">
        <f>'Rate Class Energy Model'!I2</f>
        <v>General Service &lt; 50 kW</v>
      </c>
      <c r="D2" s="198" t="str">
        <f>'Rate Class Energy Model'!J2</f>
        <v>General Service 50 to 2999 kW</v>
      </c>
      <c r="E2" s="198" t="str">
        <f>'Rate Class Energy Model'!K2</f>
        <v>General Service 3000 to 4999 kW</v>
      </c>
      <c r="F2" s="198" t="str">
        <f>'Rate Class Energy Model'!L2</f>
        <v>Street Lighting</v>
      </c>
      <c r="G2" s="198" t="str">
        <f>'Rate Class Energy Model'!M2</f>
        <v>Sentinel Lighting</v>
      </c>
      <c r="H2" s="198" t="str">
        <f>'Rate Class Energy Model'!N2</f>
        <v xml:space="preserve">Unmetered Scattered Load </v>
      </c>
      <c r="I2" s="114" t="s">
        <v>10</v>
      </c>
      <c r="J2" s="114"/>
      <c r="K2"/>
      <c r="L2"/>
      <c r="M2"/>
      <c r="N2"/>
      <c r="O2"/>
      <c r="P2"/>
      <c r="Q2"/>
      <c r="R2"/>
    </row>
    <row r="3" spans="1:22" x14ac:dyDescent="0.25">
      <c r="A3" s="4">
        <v>1999</v>
      </c>
      <c r="B3" s="120">
        <v>19386</v>
      </c>
      <c r="C3" s="120">
        <v>2489</v>
      </c>
      <c r="D3" s="120">
        <v>219</v>
      </c>
      <c r="E3" s="120">
        <v>3</v>
      </c>
      <c r="F3" s="120">
        <v>5000</v>
      </c>
      <c r="G3" s="120">
        <v>579</v>
      </c>
      <c r="H3" s="120">
        <v>21</v>
      </c>
      <c r="I3" s="21">
        <f>SUM(B3:H3)</f>
        <v>27697</v>
      </c>
      <c r="J3" s="21">
        <f>+D3+C3+H3+E3</f>
        <v>2732</v>
      </c>
    </row>
    <row r="4" spans="1:22" x14ac:dyDescent="0.25">
      <c r="A4" s="4">
        <v>2000</v>
      </c>
      <c r="B4" s="21">
        <v>19468</v>
      </c>
      <c r="C4" s="21">
        <v>2499</v>
      </c>
      <c r="D4" s="21">
        <v>229</v>
      </c>
      <c r="E4" s="120">
        <v>3</v>
      </c>
      <c r="F4" s="120">
        <v>5139</v>
      </c>
      <c r="G4" s="120">
        <v>579</v>
      </c>
      <c r="H4" s="21">
        <v>21</v>
      </c>
      <c r="I4" s="21">
        <f t="shared" ref="I4:I11" si="0">SUM(B4:H4)</f>
        <v>27938</v>
      </c>
      <c r="J4" s="21">
        <f>+C4+D4+E4+H4</f>
        <v>2752</v>
      </c>
      <c r="S4" s="42"/>
      <c r="V4" s="42"/>
    </row>
    <row r="5" spans="1:22" x14ac:dyDescent="0.25">
      <c r="A5" s="4">
        <v>2001</v>
      </c>
      <c r="B5" s="120">
        <v>19645</v>
      </c>
      <c r="C5" s="120">
        <v>2555</v>
      </c>
      <c r="D5" s="120">
        <v>244</v>
      </c>
      <c r="E5" s="120">
        <v>3</v>
      </c>
      <c r="F5" s="120">
        <v>5139</v>
      </c>
      <c r="G5" s="120">
        <v>579</v>
      </c>
      <c r="H5" s="120">
        <v>21</v>
      </c>
      <c r="I5" s="21">
        <f t="shared" si="0"/>
        <v>28186</v>
      </c>
      <c r="J5" s="21">
        <f>+C5+D5+E5+H5</f>
        <v>2823</v>
      </c>
    </row>
    <row r="6" spans="1:22" x14ac:dyDescent="0.25">
      <c r="A6" s="4">
        <v>2002</v>
      </c>
      <c r="B6" s="120">
        <v>19973</v>
      </c>
      <c r="C6" s="120">
        <v>2562</v>
      </c>
      <c r="D6" s="120">
        <v>255</v>
      </c>
      <c r="E6" s="120">
        <v>3</v>
      </c>
      <c r="F6" s="120">
        <v>5287</v>
      </c>
      <c r="G6" s="120">
        <v>579</v>
      </c>
      <c r="H6" s="120">
        <v>21</v>
      </c>
      <c r="I6" s="21">
        <f t="shared" si="0"/>
        <v>28680</v>
      </c>
      <c r="J6" s="21">
        <f t="shared" ref="J6:J25" si="1">+C6+D6</f>
        <v>2817</v>
      </c>
    </row>
    <row r="7" spans="1:22" x14ac:dyDescent="0.25">
      <c r="A7" s="4">
        <v>2003</v>
      </c>
      <c r="B7" s="120">
        <v>19862</v>
      </c>
      <c r="C7" s="120">
        <v>2568</v>
      </c>
      <c r="D7" s="120">
        <v>253</v>
      </c>
      <c r="E7" s="120">
        <v>2</v>
      </c>
      <c r="F7" s="120">
        <v>5277</v>
      </c>
      <c r="G7" s="120">
        <v>641</v>
      </c>
      <c r="H7" s="120">
        <v>21</v>
      </c>
      <c r="I7" s="21">
        <f t="shared" si="0"/>
        <v>28624</v>
      </c>
      <c r="J7" s="21">
        <f t="shared" si="1"/>
        <v>2821</v>
      </c>
    </row>
    <row r="8" spans="1:22" x14ac:dyDescent="0.25">
      <c r="A8" s="4">
        <v>2004</v>
      </c>
      <c r="B8" s="120">
        <v>19966</v>
      </c>
      <c r="C8" s="120">
        <v>2598</v>
      </c>
      <c r="D8" s="120">
        <v>253</v>
      </c>
      <c r="E8" s="120">
        <v>2</v>
      </c>
      <c r="F8" s="120">
        <v>5508</v>
      </c>
      <c r="G8" s="120">
        <v>574</v>
      </c>
      <c r="H8" s="120">
        <v>21</v>
      </c>
      <c r="I8" s="21">
        <f t="shared" si="0"/>
        <v>28922</v>
      </c>
      <c r="J8" s="21">
        <f t="shared" si="1"/>
        <v>2851</v>
      </c>
    </row>
    <row r="9" spans="1:22" x14ac:dyDescent="0.25">
      <c r="A9" s="4">
        <v>2005</v>
      </c>
      <c r="B9" s="120">
        <v>20125</v>
      </c>
      <c r="C9" s="120">
        <v>2595</v>
      </c>
      <c r="D9" s="120">
        <v>255</v>
      </c>
      <c r="E9" s="120">
        <v>2</v>
      </c>
      <c r="F9" s="120">
        <v>5534</v>
      </c>
      <c r="G9" s="120">
        <v>555</v>
      </c>
      <c r="H9" s="120">
        <v>21</v>
      </c>
      <c r="I9" s="21">
        <f t="shared" si="0"/>
        <v>29087</v>
      </c>
      <c r="J9" s="21">
        <f t="shared" si="1"/>
        <v>2850</v>
      </c>
    </row>
    <row r="10" spans="1:22" x14ac:dyDescent="0.25">
      <c r="A10" s="4">
        <v>2006</v>
      </c>
      <c r="B10" s="120">
        <v>20555</v>
      </c>
      <c r="C10" s="120">
        <v>2678</v>
      </c>
      <c r="D10" s="120">
        <v>258</v>
      </c>
      <c r="E10" s="120">
        <v>2</v>
      </c>
      <c r="F10" s="120">
        <v>5510</v>
      </c>
      <c r="G10" s="120">
        <v>606</v>
      </c>
      <c r="H10" s="120">
        <v>21</v>
      </c>
      <c r="I10" s="21">
        <f t="shared" si="0"/>
        <v>29630</v>
      </c>
      <c r="J10" s="21">
        <f t="shared" si="1"/>
        <v>2936</v>
      </c>
    </row>
    <row r="11" spans="1:22" x14ac:dyDescent="0.25">
      <c r="A11" s="4">
        <v>2007</v>
      </c>
      <c r="B11" s="120">
        <v>20726</v>
      </c>
      <c r="C11" s="120">
        <v>2626</v>
      </c>
      <c r="D11" s="120">
        <v>267</v>
      </c>
      <c r="E11" s="120">
        <v>2</v>
      </c>
      <c r="F11" s="120">
        <v>5534</v>
      </c>
      <c r="G11" s="120">
        <v>577</v>
      </c>
      <c r="H11" s="120">
        <v>21</v>
      </c>
      <c r="I11" s="21">
        <f t="shared" si="0"/>
        <v>29753</v>
      </c>
      <c r="J11" s="21">
        <f t="shared" si="1"/>
        <v>2893</v>
      </c>
    </row>
    <row r="12" spans="1:22" x14ac:dyDescent="0.25">
      <c r="A12" s="4">
        <v>2008</v>
      </c>
      <c r="B12" s="120">
        <v>20757</v>
      </c>
      <c r="C12" s="120">
        <v>2616</v>
      </c>
      <c r="D12" s="120">
        <v>273</v>
      </c>
      <c r="E12" s="120">
        <v>2</v>
      </c>
      <c r="F12" s="120">
        <v>5550</v>
      </c>
      <c r="G12" s="120">
        <v>521</v>
      </c>
      <c r="H12" s="120">
        <v>21</v>
      </c>
      <c r="I12" s="21">
        <f>SUM(B12:H12)</f>
        <v>29740</v>
      </c>
      <c r="J12" s="21">
        <f t="shared" si="1"/>
        <v>2889</v>
      </c>
    </row>
    <row r="13" spans="1:22" x14ac:dyDescent="0.25">
      <c r="A13" s="49">
        <v>2009</v>
      </c>
      <c r="B13" s="21">
        <v>20850</v>
      </c>
      <c r="C13" s="21">
        <v>2629</v>
      </c>
      <c r="D13" s="120">
        <v>274</v>
      </c>
      <c r="E13" s="21">
        <v>2</v>
      </c>
      <c r="F13" s="21">
        <v>5571</v>
      </c>
      <c r="G13" s="21">
        <v>518</v>
      </c>
      <c r="H13" s="21">
        <v>21</v>
      </c>
      <c r="I13" s="21">
        <f t="shared" ref="I13:I25" si="2">SUM(B13:H13)</f>
        <v>29865</v>
      </c>
      <c r="J13" s="21">
        <f t="shared" si="1"/>
        <v>2903</v>
      </c>
    </row>
    <row r="14" spans="1:22" x14ac:dyDescent="0.25">
      <c r="A14" s="49">
        <v>2010</v>
      </c>
      <c r="B14" s="120">
        <v>20952</v>
      </c>
      <c r="C14" s="120">
        <v>2633</v>
      </c>
      <c r="D14" s="120">
        <v>269</v>
      </c>
      <c r="E14" s="21">
        <v>2</v>
      </c>
      <c r="F14" s="21">
        <v>5572</v>
      </c>
      <c r="G14" s="21">
        <v>509</v>
      </c>
      <c r="H14" s="21">
        <v>19</v>
      </c>
      <c r="I14" s="21">
        <f t="shared" si="2"/>
        <v>29956</v>
      </c>
      <c r="J14" s="21">
        <f t="shared" si="1"/>
        <v>2902</v>
      </c>
    </row>
    <row r="15" spans="1:22" x14ac:dyDescent="0.25">
      <c r="A15" s="4">
        <v>2011</v>
      </c>
      <c r="B15" s="21">
        <v>21096</v>
      </c>
      <c r="C15" s="21">
        <v>2623</v>
      </c>
      <c r="D15" s="21">
        <v>268</v>
      </c>
      <c r="E15" s="21">
        <v>2</v>
      </c>
      <c r="F15" s="21">
        <v>5574</v>
      </c>
      <c r="G15" s="21">
        <v>474</v>
      </c>
      <c r="H15" s="21">
        <v>18</v>
      </c>
      <c r="I15" s="21">
        <f t="shared" si="2"/>
        <v>30055</v>
      </c>
      <c r="J15" s="21">
        <f t="shared" si="1"/>
        <v>2891</v>
      </c>
    </row>
    <row r="16" spans="1:22" x14ac:dyDescent="0.25">
      <c r="A16" s="4">
        <v>2012</v>
      </c>
      <c r="B16" s="21">
        <v>21074</v>
      </c>
      <c r="C16" s="21">
        <v>2645</v>
      </c>
      <c r="D16" s="21">
        <v>254</v>
      </c>
      <c r="E16" s="21">
        <v>2</v>
      </c>
      <c r="F16" s="21">
        <v>5574</v>
      </c>
      <c r="G16" s="21">
        <v>447</v>
      </c>
      <c r="H16" s="21">
        <v>17</v>
      </c>
      <c r="I16" s="21">
        <f t="shared" si="2"/>
        <v>30013</v>
      </c>
      <c r="J16" s="21">
        <f t="shared" si="1"/>
        <v>2899</v>
      </c>
    </row>
    <row r="17" spans="1:16" x14ac:dyDescent="0.25">
      <c r="A17" s="4">
        <v>2013</v>
      </c>
      <c r="B17" s="21">
        <v>21108</v>
      </c>
      <c r="C17" s="21">
        <v>2649</v>
      </c>
      <c r="D17" s="21">
        <v>255</v>
      </c>
      <c r="E17" s="21">
        <v>2</v>
      </c>
      <c r="F17" s="21">
        <v>5574</v>
      </c>
      <c r="G17" s="21">
        <v>427</v>
      </c>
      <c r="H17" s="21">
        <v>15</v>
      </c>
      <c r="I17" s="21">
        <f t="shared" si="2"/>
        <v>30030</v>
      </c>
      <c r="J17" s="21">
        <f t="shared" si="1"/>
        <v>2904</v>
      </c>
    </row>
    <row r="18" spans="1:16" x14ac:dyDescent="0.25">
      <c r="A18" s="4">
        <v>2014</v>
      </c>
      <c r="B18" s="21">
        <v>21117</v>
      </c>
      <c r="C18" s="21">
        <v>2657</v>
      </c>
      <c r="D18" s="21">
        <v>252</v>
      </c>
      <c r="E18" s="21">
        <v>2</v>
      </c>
      <c r="F18" s="21">
        <v>5419</v>
      </c>
      <c r="G18" s="21">
        <v>427</v>
      </c>
      <c r="H18" s="21">
        <v>11</v>
      </c>
      <c r="I18" s="21">
        <f t="shared" si="2"/>
        <v>29885</v>
      </c>
      <c r="J18" s="6">
        <f t="shared" si="1"/>
        <v>2909</v>
      </c>
    </row>
    <row r="19" spans="1:16" x14ac:dyDescent="0.25">
      <c r="A19" s="4">
        <v>2015</v>
      </c>
      <c r="B19" s="15">
        <v>21122</v>
      </c>
      <c r="C19" s="15">
        <v>2646</v>
      </c>
      <c r="D19" s="15">
        <v>254</v>
      </c>
      <c r="E19" s="148">
        <v>1</v>
      </c>
      <c r="F19" s="148">
        <v>5422</v>
      </c>
      <c r="G19" s="15">
        <v>402</v>
      </c>
      <c r="H19" s="15">
        <v>10</v>
      </c>
      <c r="I19" s="21">
        <f t="shared" si="2"/>
        <v>29857</v>
      </c>
      <c r="J19" s="6">
        <f t="shared" si="1"/>
        <v>2900</v>
      </c>
    </row>
    <row r="20" spans="1:16" x14ac:dyDescent="0.25">
      <c r="A20" s="4">
        <v>2016</v>
      </c>
      <c r="B20" s="15">
        <v>21173</v>
      </c>
      <c r="C20" s="15">
        <v>2659</v>
      </c>
      <c r="D20" s="15">
        <v>253</v>
      </c>
      <c r="E20" s="148">
        <v>1</v>
      </c>
      <c r="F20" s="148">
        <v>5424</v>
      </c>
      <c r="G20" s="15">
        <v>444</v>
      </c>
      <c r="H20" s="15">
        <v>10</v>
      </c>
      <c r="I20" s="21">
        <f t="shared" si="2"/>
        <v>29964</v>
      </c>
      <c r="J20" s="6">
        <f t="shared" si="1"/>
        <v>2912</v>
      </c>
    </row>
    <row r="21" spans="1:16" x14ac:dyDescent="0.25">
      <c r="A21" s="4">
        <v>2017</v>
      </c>
      <c r="B21" s="15">
        <v>21192</v>
      </c>
      <c r="C21" s="15">
        <v>2653</v>
      </c>
      <c r="D21" s="15">
        <v>261</v>
      </c>
      <c r="E21" s="148">
        <v>1</v>
      </c>
      <c r="F21" s="148">
        <v>5424</v>
      </c>
      <c r="G21" s="15">
        <v>436</v>
      </c>
      <c r="H21" s="15">
        <v>10</v>
      </c>
      <c r="I21" s="21">
        <f t="shared" si="2"/>
        <v>29977</v>
      </c>
      <c r="J21" s="6">
        <f t="shared" si="1"/>
        <v>2914</v>
      </c>
    </row>
    <row r="22" spans="1:16" x14ac:dyDescent="0.25">
      <c r="A22" s="4">
        <v>2018</v>
      </c>
      <c r="B22" s="15">
        <v>21229</v>
      </c>
      <c r="C22" s="15">
        <v>2654</v>
      </c>
      <c r="D22" s="15">
        <v>258</v>
      </c>
      <c r="E22" s="148">
        <v>1</v>
      </c>
      <c r="F22" s="148">
        <v>5424</v>
      </c>
      <c r="G22" s="15">
        <v>425</v>
      </c>
      <c r="H22" s="15">
        <v>10</v>
      </c>
      <c r="I22" s="21">
        <f t="shared" si="2"/>
        <v>30001</v>
      </c>
      <c r="J22" s="6">
        <f t="shared" si="1"/>
        <v>2912</v>
      </c>
    </row>
    <row r="23" spans="1:16" x14ac:dyDescent="0.25">
      <c r="A23" s="4">
        <v>2019</v>
      </c>
      <c r="B23" s="15">
        <v>21280</v>
      </c>
      <c r="C23" s="15">
        <v>2653</v>
      </c>
      <c r="D23" s="15">
        <v>263</v>
      </c>
      <c r="E23" s="148">
        <v>1</v>
      </c>
      <c r="F23" s="148">
        <v>5424</v>
      </c>
      <c r="G23" s="15">
        <v>417</v>
      </c>
      <c r="H23" s="15">
        <v>9</v>
      </c>
      <c r="I23" s="21">
        <f t="shared" si="2"/>
        <v>30047</v>
      </c>
      <c r="J23" s="6">
        <f t="shared" si="1"/>
        <v>2916</v>
      </c>
    </row>
    <row r="24" spans="1:16" x14ac:dyDescent="0.25">
      <c r="A24" s="4">
        <v>2020</v>
      </c>
      <c r="B24" s="15">
        <f>ROUND(B23*$B$52,0)</f>
        <v>21316</v>
      </c>
      <c r="C24" s="15">
        <f>ROUND(C23*$C$52,0)</f>
        <v>2651</v>
      </c>
      <c r="D24" s="15">
        <f>ROUND(D23*$D$52,0)</f>
        <v>266</v>
      </c>
      <c r="E24" s="15">
        <f>ROUND(E23*$E$52,0)</f>
        <v>1</v>
      </c>
      <c r="F24" s="15">
        <f>ROUND(F23*$F$52,0)</f>
        <v>5424</v>
      </c>
      <c r="G24" s="15">
        <f>ROUND(G23*$G$52,0)</f>
        <v>408</v>
      </c>
      <c r="H24" s="15">
        <f>ROUND(H23*$H$52,0)</f>
        <v>9</v>
      </c>
      <c r="I24" s="21">
        <f t="shared" si="2"/>
        <v>30075</v>
      </c>
      <c r="J24" s="6">
        <f t="shared" si="1"/>
        <v>2917</v>
      </c>
    </row>
    <row r="25" spans="1:16" x14ac:dyDescent="0.25">
      <c r="A25" s="4">
        <v>2021</v>
      </c>
      <c r="B25" s="15">
        <f>ROUND(B24*$B$52,0)</f>
        <v>21352</v>
      </c>
      <c r="C25" s="15">
        <f>ROUND(C24*$C$52,0)</f>
        <v>2649</v>
      </c>
      <c r="D25" s="15">
        <f>ROUND(D24*$D$52,0)</f>
        <v>269</v>
      </c>
      <c r="E25" s="15">
        <f>ROUND(E24*$E$52,0)</f>
        <v>1</v>
      </c>
      <c r="F25" s="15">
        <f>ROUND(F24*$F$52,0)</f>
        <v>5424</v>
      </c>
      <c r="G25" s="15">
        <f>ROUND(G24*$G$52,0)</f>
        <v>400</v>
      </c>
      <c r="H25" s="15">
        <f>ROUND(H24*$H$52,0)</f>
        <v>9</v>
      </c>
      <c r="I25" s="21">
        <f t="shared" si="2"/>
        <v>30104</v>
      </c>
      <c r="J25" s="6">
        <f t="shared" si="1"/>
        <v>2918</v>
      </c>
    </row>
    <row r="26" spans="1:16" x14ac:dyDescent="0.25">
      <c r="B26"/>
      <c r="D26" s="8"/>
      <c r="E26" s="8"/>
      <c r="F26" s="8"/>
      <c r="H26" s="21"/>
      <c r="I26" s="21"/>
      <c r="J26" s="21"/>
    </row>
    <row r="27" spans="1:16" ht="13" x14ac:dyDescent="0.3">
      <c r="A27" s="154"/>
      <c r="B27" s="160"/>
      <c r="C27" s="160"/>
      <c r="H27" s="21"/>
      <c r="I27" s="21"/>
      <c r="J27" s="21"/>
    </row>
    <row r="28" spans="1:16" ht="13" x14ac:dyDescent="0.3">
      <c r="A28" s="13" t="s">
        <v>40</v>
      </c>
      <c r="B28" s="5"/>
      <c r="C28" s="5"/>
      <c r="D28" s="5"/>
      <c r="E28" s="5"/>
      <c r="F28" s="50"/>
      <c r="H28" s="5"/>
    </row>
    <row r="29" spans="1:16" s="25" customFormat="1" x14ac:dyDescent="0.25">
      <c r="A29" s="49"/>
      <c r="B29" s="147"/>
      <c r="C29" s="147"/>
      <c r="D29" s="147"/>
      <c r="E29" s="147"/>
      <c r="F29" s="147"/>
      <c r="G29" s="147"/>
      <c r="H29" s="147"/>
      <c r="I29" s="21"/>
      <c r="J29" s="21"/>
      <c r="K29"/>
      <c r="L29"/>
      <c r="M29"/>
      <c r="N29"/>
      <c r="O29"/>
      <c r="P29"/>
    </row>
    <row r="30" spans="1:16" x14ac:dyDescent="0.25">
      <c r="A30" s="4">
        <v>2000</v>
      </c>
      <c r="B30" s="18">
        <f t="shared" ref="B30:H41" si="3">B4/B3</f>
        <v>1.0042298565975447</v>
      </c>
      <c r="C30" s="18">
        <f t="shared" si="3"/>
        <v>1.0040176777822418</v>
      </c>
      <c r="D30" s="18">
        <f t="shared" si="3"/>
        <v>1.0456621004566211</v>
      </c>
      <c r="E30" s="18">
        <f t="shared" si="3"/>
        <v>1</v>
      </c>
      <c r="F30" s="18">
        <f t="shared" si="3"/>
        <v>1.0278</v>
      </c>
      <c r="G30" s="18">
        <f t="shared" si="3"/>
        <v>1</v>
      </c>
      <c r="H30" s="18">
        <f t="shared" si="3"/>
        <v>1</v>
      </c>
    </row>
    <row r="31" spans="1:16" x14ac:dyDescent="0.25">
      <c r="A31" s="4">
        <v>2001</v>
      </c>
      <c r="B31" s="18">
        <f t="shared" si="3"/>
        <v>1.0090918430244504</v>
      </c>
      <c r="C31" s="18">
        <f t="shared" si="3"/>
        <v>1.0224089635854341</v>
      </c>
      <c r="D31" s="18">
        <f t="shared" si="3"/>
        <v>1.0655021834061136</v>
      </c>
      <c r="E31" s="18">
        <f t="shared" si="3"/>
        <v>1</v>
      </c>
      <c r="F31" s="18">
        <f t="shared" si="3"/>
        <v>1</v>
      </c>
      <c r="G31" s="18">
        <f t="shared" si="3"/>
        <v>1</v>
      </c>
      <c r="H31" s="18">
        <f t="shared" si="3"/>
        <v>1</v>
      </c>
    </row>
    <row r="32" spans="1:16" x14ac:dyDescent="0.25">
      <c r="A32" s="4">
        <v>2002</v>
      </c>
      <c r="B32" s="18">
        <f t="shared" si="3"/>
        <v>1.0166963603970476</v>
      </c>
      <c r="C32" s="18">
        <f t="shared" si="3"/>
        <v>1.0027397260273974</v>
      </c>
      <c r="D32" s="18">
        <f t="shared" si="3"/>
        <v>1.0450819672131149</v>
      </c>
      <c r="E32" s="18">
        <f t="shared" si="3"/>
        <v>1</v>
      </c>
      <c r="F32" s="18">
        <f t="shared" si="3"/>
        <v>1.0287993773107609</v>
      </c>
      <c r="G32" s="18">
        <f t="shared" si="3"/>
        <v>1</v>
      </c>
      <c r="H32" s="18">
        <f t="shared" si="3"/>
        <v>1</v>
      </c>
    </row>
    <row r="33" spans="1:8" x14ac:dyDescent="0.25">
      <c r="A33" s="4">
        <v>2003</v>
      </c>
      <c r="B33" s="18">
        <f t="shared" si="3"/>
        <v>0.99444249737145141</v>
      </c>
      <c r="C33" s="18">
        <f t="shared" si="3"/>
        <v>1.0023419203747073</v>
      </c>
      <c r="D33" s="18">
        <f t="shared" si="3"/>
        <v>0.99215686274509807</v>
      </c>
      <c r="E33" s="18">
        <f t="shared" si="3"/>
        <v>0.66666666666666663</v>
      </c>
      <c r="F33" s="18">
        <f t="shared" si="3"/>
        <v>0.99810856818611693</v>
      </c>
      <c r="G33" s="18">
        <f t="shared" si="3"/>
        <v>1.1070811744386875</v>
      </c>
      <c r="H33" s="18">
        <f t="shared" si="3"/>
        <v>1</v>
      </c>
    </row>
    <row r="34" spans="1:8" x14ac:dyDescent="0.25">
      <c r="A34" s="4">
        <v>2004</v>
      </c>
      <c r="B34" s="18">
        <f t="shared" si="3"/>
        <v>1.0052361292921157</v>
      </c>
      <c r="C34" s="18">
        <f t="shared" si="3"/>
        <v>1.0116822429906542</v>
      </c>
      <c r="D34" s="18">
        <f t="shared" si="3"/>
        <v>1</v>
      </c>
      <c r="E34" s="18">
        <f t="shared" si="3"/>
        <v>1</v>
      </c>
      <c r="F34" s="18">
        <f t="shared" si="3"/>
        <v>1.0437748720864128</v>
      </c>
      <c r="G34" s="18">
        <f t="shared" si="3"/>
        <v>0.8954758190327613</v>
      </c>
      <c r="H34" s="18">
        <f t="shared" si="3"/>
        <v>1</v>
      </c>
    </row>
    <row r="35" spans="1:8" x14ac:dyDescent="0.25">
      <c r="A35" s="4">
        <v>2005</v>
      </c>
      <c r="B35" s="18">
        <f t="shared" si="3"/>
        <v>1.0079635380146248</v>
      </c>
      <c r="C35" s="18">
        <f t="shared" si="3"/>
        <v>0.99884526558891451</v>
      </c>
      <c r="D35" s="18">
        <f t="shared" si="3"/>
        <v>1.0079051383399209</v>
      </c>
      <c r="E35" s="18">
        <f t="shared" si="3"/>
        <v>1</v>
      </c>
      <c r="F35" s="18">
        <f t="shared" si="3"/>
        <v>1.004720406681191</v>
      </c>
      <c r="G35" s="18">
        <f t="shared" si="3"/>
        <v>0.9668989547038328</v>
      </c>
      <c r="H35" s="18">
        <f t="shared" si="3"/>
        <v>1</v>
      </c>
    </row>
    <row r="36" spans="1:8" x14ac:dyDescent="0.25">
      <c r="A36" s="4">
        <v>2006</v>
      </c>
      <c r="B36" s="18">
        <f t="shared" si="3"/>
        <v>1.0213664596273291</v>
      </c>
      <c r="C36" s="18">
        <f t="shared" si="3"/>
        <v>1.0319845857418111</v>
      </c>
      <c r="D36" s="18">
        <f t="shared" si="3"/>
        <v>1.0117647058823529</v>
      </c>
      <c r="E36" s="18">
        <f t="shared" si="3"/>
        <v>1</v>
      </c>
      <c r="F36" s="18">
        <f t="shared" si="3"/>
        <v>0.99566317311167329</v>
      </c>
      <c r="G36" s="18">
        <f t="shared" si="3"/>
        <v>1.0918918918918918</v>
      </c>
      <c r="H36" s="18">
        <f t="shared" si="3"/>
        <v>1</v>
      </c>
    </row>
    <row r="37" spans="1:8" x14ac:dyDescent="0.25">
      <c r="A37" s="4">
        <v>2007</v>
      </c>
      <c r="B37" s="18">
        <f t="shared" si="3"/>
        <v>1.0083191437606422</v>
      </c>
      <c r="C37" s="18">
        <f t="shared" si="3"/>
        <v>0.98058252427184467</v>
      </c>
      <c r="D37" s="18">
        <f t="shared" si="3"/>
        <v>1.0348837209302326</v>
      </c>
      <c r="E37" s="18">
        <f t="shared" si="3"/>
        <v>1</v>
      </c>
      <c r="F37" s="18">
        <f t="shared" si="3"/>
        <v>1.004355716878403</v>
      </c>
      <c r="G37" s="18">
        <f t="shared" si="3"/>
        <v>0.95214521452145218</v>
      </c>
      <c r="H37" s="18">
        <f t="shared" si="3"/>
        <v>1</v>
      </c>
    </row>
    <row r="38" spans="1:8" x14ac:dyDescent="0.25">
      <c r="A38" s="4">
        <v>2008</v>
      </c>
      <c r="B38" s="18">
        <f t="shared" si="3"/>
        <v>1.0014957058766767</v>
      </c>
      <c r="C38" s="18">
        <f t="shared" si="3"/>
        <v>0.99619192688499614</v>
      </c>
      <c r="D38" s="18">
        <f t="shared" si="3"/>
        <v>1.0224719101123596</v>
      </c>
      <c r="E38" s="18">
        <f t="shared" si="3"/>
        <v>1</v>
      </c>
      <c r="F38" s="18">
        <f t="shared" si="3"/>
        <v>1.0028912179255511</v>
      </c>
      <c r="G38" s="18">
        <f t="shared" si="3"/>
        <v>0.90294627383015602</v>
      </c>
      <c r="H38" s="18">
        <f t="shared" si="3"/>
        <v>1</v>
      </c>
    </row>
    <row r="39" spans="1:8" x14ac:dyDescent="0.25">
      <c r="A39" s="4">
        <v>2009</v>
      </c>
      <c r="B39" s="18">
        <f t="shared" si="3"/>
        <v>1.0044804162451222</v>
      </c>
      <c r="C39" s="18">
        <f t="shared" si="3"/>
        <v>1.0049694189602447</v>
      </c>
      <c r="D39" s="18">
        <f t="shared" si="3"/>
        <v>1.0036630036630036</v>
      </c>
      <c r="E39" s="18">
        <f t="shared" si="3"/>
        <v>1</v>
      </c>
      <c r="F39" s="18">
        <f t="shared" si="3"/>
        <v>1.0037837837837837</v>
      </c>
      <c r="G39" s="18">
        <f t="shared" si="3"/>
        <v>0.99424184261036463</v>
      </c>
      <c r="H39" s="18">
        <f t="shared" si="3"/>
        <v>1</v>
      </c>
    </row>
    <row r="40" spans="1:8" x14ac:dyDescent="0.25">
      <c r="A40" s="4">
        <v>2010</v>
      </c>
      <c r="B40" s="18">
        <f t="shared" si="3"/>
        <v>1.0048920863309352</v>
      </c>
      <c r="C40" s="18">
        <f t="shared" si="3"/>
        <v>1.00152149106124</v>
      </c>
      <c r="D40" s="18">
        <f t="shared" si="3"/>
        <v>0.98175182481751821</v>
      </c>
      <c r="E40" s="18">
        <f t="shared" si="3"/>
        <v>1</v>
      </c>
      <c r="F40" s="18">
        <f t="shared" si="3"/>
        <v>1.0001795009872554</v>
      </c>
      <c r="G40" s="18">
        <f t="shared" si="3"/>
        <v>0.98262548262548266</v>
      </c>
      <c r="H40" s="18">
        <f t="shared" si="3"/>
        <v>0.90476190476190477</v>
      </c>
    </row>
    <row r="41" spans="1:8" x14ac:dyDescent="0.25">
      <c r="A41" s="4">
        <v>2011</v>
      </c>
      <c r="B41" s="18">
        <f t="shared" si="3"/>
        <v>1.006872852233677</v>
      </c>
      <c r="C41" s="18">
        <f t="shared" si="3"/>
        <v>0.99620205089251801</v>
      </c>
      <c r="D41" s="18">
        <f t="shared" si="3"/>
        <v>0.99628252788104088</v>
      </c>
      <c r="E41" s="18">
        <f t="shared" si="3"/>
        <v>1</v>
      </c>
      <c r="F41" s="18">
        <f t="shared" si="3"/>
        <v>1.0003589375448672</v>
      </c>
      <c r="G41" s="18">
        <f t="shared" si="3"/>
        <v>0.93123772102161095</v>
      </c>
      <c r="H41" s="18">
        <f t="shared" si="3"/>
        <v>0.94736842105263153</v>
      </c>
    </row>
    <row r="42" spans="1:8" x14ac:dyDescent="0.25">
      <c r="A42" s="4">
        <v>2012</v>
      </c>
      <c r="B42" s="18">
        <f t="shared" ref="B42:D44" si="4">B16/B15</f>
        <v>0.9989571482745544</v>
      </c>
      <c r="C42" s="18">
        <f t="shared" si="4"/>
        <v>1.0083873427373238</v>
      </c>
      <c r="D42" s="18">
        <f t="shared" si="4"/>
        <v>0.94776119402985071</v>
      </c>
      <c r="E42" s="18">
        <v>1</v>
      </c>
      <c r="F42" s="18">
        <v>1</v>
      </c>
      <c r="G42" s="18">
        <f t="shared" ref="G42:H44" si="5">G16/G15</f>
        <v>0.94303797468354433</v>
      </c>
      <c r="H42" s="18">
        <f t="shared" si="5"/>
        <v>0.94444444444444442</v>
      </c>
    </row>
    <row r="43" spans="1:8" x14ac:dyDescent="0.25">
      <c r="A43" s="4">
        <v>2013</v>
      </c>
      <c r="B43" s="18">
        <f t="shared" si="4"/>
        <v>1.0016133624371264</v>
      </c>
      <c r="C43" s="18">
        <f t="shared" si="4"/>
        <v>1.0015122873345936</v>
      </c>
      <c r="D43" s="18">
        <f t="shared" si="4"/>
        <v>1.0039370078740157</v>
      </c>
      <c r="E43" s="18">
        <v>1</v>
      </c>
      <c r="F43" s="18">
        <v>1</v>
      </c>
      <c r="G43" s="18">
        <f t="shared" si="5"/>
        <v>0.95525727069351229</v>
      </c>
      <c r="H43" s="18">
        <f t="shared" si="5"/>
        <v>0.88235294117647056</v>
      </c>
    </row>
    <row r="44" spans="1:8" x14ac:dyDescent="0.25">
      <c r="A44" s="4">
        <v>2014</v>
      </c>
      <c r="B44" s="18">
        <f t="shared" si="4"/>
        <v>1.0004263786242182</v>
      </c>
      <c r="C44" s="18">
        <f t="shared" si="4"/>
        <v>1.0030200075500189</v>
      </c>
      <c r="D44" s="18">
        <f t="shared" si="4"/>
        <v>0.9882352941176471</v>
      </c>
      <c r="E44" s="18">
        <v>1</v>
      </c>
      <c r="F44" s="18">
        <v>1</v>
      </c>
      <c r="G44" s="18">
        <f t="shared" si="5"/>
        <v>1</v>
      </c>
      <c r="H44" s="18">
        <f t="shared" si="5"/>
        <v>0.73333333333333328</v>
      </c>
    </row>
    <row r="45" spans="1:8" x14ac:dyDescent="0.25">
      <c r="A45" s="4">
        <v>2015</v>
      </c>
      <c r="B45" s="18">
        <f t="shared" ref="B45:D49" si="6">B19/B18</f>
        <v>1.0002367760572051</v>
      </c>
      <c r="C45" s="18">
        <f t="shared" si="6"/>
        <v>0.99585999247271362</v>
      </c>
      <c r="D45" s="18">
        <f t="shared" si="6"/>
        <v>1.0079365079365079</v>
      </c>
      <c r="E45" s="18">
        <v>1</v>
      </c>
      <c r="F45" s="18">
        <v>1</v>
      </c>
      <c r="G45" s="18">
        <f t="shared" ref="G45:H49" si="7">G19/G18</f>
        <v>0.94145199063231855</v>
      </c>
      <c r="H45" s="18">
        <f t="shared" si="7"/>
        <v>0.90909090909090906</v>
      </c>
    </row>
    <row r="46" spans="1:8" x14ac:dyDescent="0.25">
      <c r="A46" s="4">
        <v>2016</v>
      </c>
      <c r="B46" s="18">
        <f t="shared" si="6"/>
        <v>1.0024145440772654</v>
      </c>
      <c r="C46" s="18">
        <f t="shared" si="6"/>
        <v>1.0049130763416478</v>
      </c>
      <c r="D46" s="18">
        <f t="shared" si="6"/>
        <v>0.99606299212598426</v>
      </c>
      <c r="E46" s="18">
        <v>1</v>
      </c>
      <c r="F46" s="18">
        <v>1</v>
      </c>
      <c r="G46" s="18">
        <f t="shared" si="7"/>
        <v>1.1044776119402986</v>
      </c>
      <c r="H46" s="18">
        <f t="shared" si="7"/>
        <v>1</v>
      </c>
    </row>
    <row r="47" spans="1:8" x14ac:dyDescent="0.25">
      <c r="A47" s="4">
        <v>2017</v>
      </c>
      <c r="B47" s="18">
        <f t="shared" si="6"/>
        <v>1.0008973692910783</v>
      </c>
      <c r="C47" s="18">
        <f t="shared" si="6"/>
        <v>0.99774351259872129</v>
      </c>
      <c r="D47" s="18">
        <f t="shared" si="6"/>
        <v>1.0316205533596838</v>
      </c>
      <c r="E47" s="18">
        <v>1</v>
      </c>
      <c r="F47" s="18">
        <v>1</v>
      </c>
      <c r="G47" s="18">
        <f t="shared" si="7"/>
        <v>0.98198198198198194</v>
      </c>
      <c r="H47" s="18">
        <f t="shared" si="7"/>
        <v>1</v>
      </c>
    </row>
    <row r="48" spans="1:8" x14ac:dyDescent="0.25">
      <c r="A48" s="4">
        <v>2018</v>
      </c>
      <c r="B48" s="18">
        <f t="shared" si="6"/>
        <v>1.0017459418648547</v>
      </c>
      <c r="C48" s="18">
        <f t="shared" si="6"/>
        <v>1.0003769317753486</v>
      </c>
      <c r="D48" s="18">
        <f t="shared" si="6"/>
        <v>0.9885057471264368</v>
      </c>
      <c r="E48" s="18">
        <v>1</v>
      </c>
      <c r="F48" s="18">
        <v>1</v>
      </c>
      <c r="G48" s="18">
        <f t="shared" si="7"/>
        <v>0.97477064220183485</v>
      </c>
      <c r="H48" s="18">
        <f t="shared" si="7"/>
        <v>1</v>
      </c>
    </row>
    <row r="49" spans="1:10" x14ac:dyDescent="0.25">
      <c r="A49" s="4">
        <v>2019</v>
      </c>
      <c r="B49" s="18">
        <f t="shared" si="6"/>
        <v>1.0024023741108861</v>
      </c>
      <c r="C49" s="18">
        <f t="shared" si="6"/>
        <v>0.99962321024868128</v>
      </c>
      <c r="D49" s="18">
        <f t="shared" si="6"/>
        <v>1.0193798449612403</v>
      </c>
      <c r="E49" s="18">
        <v>1</v>
      </c>
      <c r="F49" s="18">
        <v>1</v>
      </c>
      <c r="G49" s="18">
        <f t="shared" si="7"/>
        <v>0.98117647058823532</v>
      </c>
      <c r="H49" s="18">
        <f t="shared" si="7"/>
        <v>0.9</v>
      </c>
    </row>
    <row r="50" spans="1:10" x14ac:dyDescent="0.25">
      <c r="A50" s="4"/>
      <c r="B50" s="18"/>
      <c r="C50" s="18"/>
      <c r="D50" s="18"/>
      <c r="E50" s="18"/>
      <c r="F50" s="18"/>
      <c r="G50" s="18"/>
      <c r="H50" s="18"/>
    </row>
    <row r="51" spans="1:10" x14ac:dyDescent="0.25">
      <c r="B51" s="21"/>
      <c r="C51" s="21"/>
      <c r="D51" s="21"/>
      <c r="E51" s="21"/>
      <c r="F51" s="21"/>
      <c r="G51" s="21"/>
      <c r="H51" s="21"/>
    </row>
    <row r="52" spans="1:10" x14ac:dyDescent="0.25">
      <c r="A52" t="s">
        <v>54</v>
      </c>
      <c r="B52" s="19">
        <f t="shared" ref="B52:G52" si="8">B54</f>
        <v>1.0016817056167395</v>
      </c>
      <c r="C52" s="19">
        <f t="shared" si="8"/>
        <v>0.99924727107423705</v>
      </c>
      <c r="D52" s="19">
        <f t="shared" si="8"/>
        <v>1.0130053579908576</v>
      </c>
      <c r="E52" s="19">
        <f t="shared" si="8"/>
        <v>1</v>
      </c>
      <c r="F52" s="19">
        <f t="shared" si="8"/>
        <v>1</v>
      </c>
      <c r="G52" s="19">
        <f t="shared" si="8"/>
        <v>0.97930437556550631</v>
      </c>
      <c r="H52" s="19">
        <v>1</v>
      </c>
    </row>
    <row r="53" spans="1:10" x14ac:dyDescent="0.25">
      <c r="B53" s="19"/>
      <c r="C53" s="19"/>
      <c r="D53" s="19"/>
      <c r="E53" s="19"/>
      <c r="F53" s="19"/>
      <c r="G53" s="19"/>
      <c r="H53" s="19"/>
    </row>
    <row r="54" spans="1:10" ht="13" x14ac:dyDescent="0.3">
      <c r="A54" s="137" t="s">
        <v>14</v>
      </c>
      <c r="B54" s="176">
        <f>GEOMEAN(B47:B49)</f>
        <v>1.0016817056167395</v>
      </c>
      <c r="C54" s="176">
        <f t="shared" ref="C54:H54" si="9">GEOMEAN(C47:C49)</f>
        <v>0.99924727107423705</v>
      </c>
      <c r="D54" s="176">
        <f t="shared" si="9"/>
        <v>1.0130053579908576</v>
      </c>
      <c r="E54" s="176">
        <f t="shared" si="9"/>
        <v>1</v>
      </c>
      <c r="F54" s="176">
        <f t="shared" si="9"/>
        <v>1</v>
      </c>
      <c r="G54" s="176">
        <f t="shared" si="9"/>
        <v>0.97930437556550631</v>
      </c>
      <c r="H54" s="176">
        <f t="shared" si="9"/>
        <v>0.96548938460562972</v>
      </c>
      <c r="I54" s="277"/>
    </row>
    <row r="55" spans="1:10" x14ac:dyDescent="0.25">
      <c r="A55" s="34" t="s">
        <v>61</v>
      </c>
      <c r="B55" s="19">
        <f>AVERAGEA(B48:B49)</f>
        <v>1.0020741579878703</v>
      </c>
      <c r="C55" s="19">
        <f t="shared" ref="C55:H55" si="10">AVERAGEA(C48:C49)</f>
        <v>1.0000000710120149</v>
      </c>
      <c r="D55" s="19">
        <f t="shared" si="10"/>
        <v>1.0039427960438385</v>
      </c>
      <c r="E55" s="19">
        <f t="shared" si="10"/>
        <v>1</v>
      </c>
      <c r="F55" s="19">
        <f t="shared" si="10"/>
        <v>1</v>
      </c>
      <c r="G55" s="19">
        <f t="shared" si="10"/>
        <v>0.97797355639503514</v>
      </c>
      <c r="H55" s="19">
        <f t="shared" si="10"/>
        <v>0.95</v>
      </c>
    </row>
    <row r="56" spans="1:10" x14ac:dyDescent="0.25">
      <c r="A56" s="4"/>
      <c r="B56" s="19">
        <f t="shared" ref="B56:H56" si="11">+B54-B55</f>
        <v>-3.9245237113072484E-4</v>
      </c>
      <c r="C56" s="19">
        <f t="shared" si="11"/>
        <v>-7.5279993777788157E-4</v>
      </c>
      <c r="D56" s="19">
        <f t="shared" si="11"/>
        <v>9.0625619470190433E-3</v>
      </c>
      <c r="E56" s="19">
        <f t="shared" si="11"/>
        <v>0</v>
      </c>
      <c r="F56" s="19">
        <f t="shared" si="11"/>
        <v>0</v>
      </c>
      <c r="G56" s="19">
        <f t="shared" si="11"/>
        <v>1.3308191704711758E-3</v>
      </c>
      <c r="H56" s="19">
        <f t="shared" si="11"/>
        <v>1.5489384605629763E-2</v>
      </c>
    </row>
    <row r="57" spans="1:10" x14ac:dyDescent="0.25">
      <c r="A57" s="4"/>
      <c r="B57" s="19"/>
      <c r="C57" s="19"/>
      <c r="D57" s="19"/>
      <c r="E57" s="19"/>
      <c r="F57" s="19"/>
      <c r="G57" s="19"/>
      <c r="H57" s="19"/>
    </row>
    <row r="58" spans="1:10" x14ac:dyDescent="0.25">
      <c r="A58" s="4"/>
      <c r="B58" s="19"/>
      <c r="C58" s="19"/>
      <c r="D58" s="19"/>
      <c r="E58" s="19"/>
      <c r="F58" s="19"/>
      <c r="G58" s="19"/>
      <c r="H58" s="19"/>
    </row>
    <row r="59" spans="1:10" ht="13" x14ac:dyDescent="0.3">
      <c r="A59" s="143"/>
      <c r="G59" s="51"/>
      <c r="H59" s="21"/>
      <c r="I59" s="21"/>
      <c r="J59" s="21"/>
    </row>
    <row r="60" spans="1:10" x14ac:dyDescent="0.25">
      <c r="A60" s="181"/>
      <c r="B60" s="182"/>
      <c r="C60" s="182"/>
      <c r="D60" s="8"/>
      <c r="G60" s="51"/>
      <c r="H60" s="21"/>
      <c r="I60" s="21"/>
      <c r="J60" s="21"/>
    </row>
    <row r="61" spans="1:10" x14ac:dyDescent="0.25">
      <c r="B61"/>
      <c r="C61"/>
      <c r="D61"/>
      <c r="E61"/>
      <c r="F61"/>
      <c r="G61"/>
      <c r="H61"/>
      <c r="I61"/>
      <c r="J61"/>
    </row>
    <row r="62" spans="1:10" x14ac:dyDescent="0.25">
      <c r="B62"/>
      <c r="C62"/>
      <c r="D62"/>
      <c r="E62"/>
      <c r="F62"/>
      <c r="G62"/>
      <c r="H62"/>
      <c r="I62"/>
      <c r="J62"/>
    </row>
    <row r="63" spans="1:10" x14ac:dyDescent="0.25">
      <c r="B63" s="19"/>
      <c r="C63" s="19"/>
      <c r="D63" s="19"/>
      <c r="E63" s="19"/>
      <c r="F63" s="19"/>
      <c r="G63" s="19"/>
      <c r="H63" s="19"/>
    </row>
    <row r="64" spans="1:10" x14ac:dyDescent="0.25">
      <c r="B64" s="19"/>
      <c r="C64" s="19"/>
      <c r="D64" s="19"/>
      <c r="E64" s="19"/>
      <c r="F64" s="19"/>
      <c r="G64" s="19"/>
      <c r="H64" s="19"/>
    </row>
    <row r="65" spans="2:8" x14ac:dyDescent="0.25">
      <c r="B65" s="19"/>
      <c r="C65" s="19"/>
      <c r="D65" s="19"/>
      <c r="E65" s="19"/>
      <c r="F65" s="19"/>
      <c r="G65" s="19"/>
      <c r="H65" s="19"/>
    </row>
    <row r="66" spans="2:8" x14ac:dyDescent="0.25">
      <c r="B66" s="19"/>
      <c r="C66" s="19"/>
      <c r="D66" s="19"/>
      <c r="E66" s="19"/>
      <c r="F66" s="19"/>
      <c r="G66" s="19"/>
      <c r="H66" s="19"/>
    </row>
    <row r="67" spans="2:8" x14ac:dyDescent="0.25">
      <c r="B67" s="19"/>
      <c r="C67" s="19"/>
      <c r="D67" s="19"/>
      <c r="E67" s="19"/>
      <c r="F67" s="19"/>
      <c r="G67" s="19"/>
      <c r="H67" s="19"/>
    </row>
    <row r="68" spans="2:8" x14ac:dyDescent="0.25">
      <c r="B68" s="19"/>
      <c r="C68" s="19"/>
      <c r="D68" s="19"/>
      <c r="E68" s="19"/>
      <c r="F68" s="19"/>
      <c r="G68" s="19"/>
      <c r="H68" s="19"/>
    </row>
    <row r="69" spans="2:8" x14ac:dyDescent="0.25">
      <c r="B69" s="19"/>
      <c r="C69" s="19"/>
      <c r="D69" s="19"/>
      <c r="E69" s="19"/>
      <c r="F69" s="19"/>
      <c r="G69" s="19"/>
      <c r="H69" s="19"/>
    </row>
    <row r="70" spans="2:8" x14ac:dyDescent="0.25">
      <c r="B70" s="19"/>
      <c r="C70" s="19"/>
      <c r="D70" s="19"/>
      <c r="E70" s="19"/>
      <c r="F70" s="19"/>
      <c r="G70" s="19"/>
      <c r="H70" s="19"/>
    </row>
    <row r="71" spans="2:8" x14ac:dyDescent="0.25">
      <c r="B71" s="19"/>
      <c r="C71" s="19"/>
      <c r="D71" s="19"/>
      <c r="E71" s="19"/>
      <c r="F71" s="19"/>
      <c r="G71" s="19"/>
      <c r="H71" s="19"/>
    </row>
    <row r="72" spans="2:8" x14ac:dyDescent="0.25">
      <c r="B72" s="19"/>
      <c r="C72" s="19"/>
      <c r="D72" s="19"/>
      <c r="E72" s="19"/>
      <c r="F72" s="19"/>
      <c r="G72" s="19"/>
      <c r="H72" s="19"/>
    </row>
  </sheetData>
  <phoneticPr fontId="0" type="noConversion"/>
  <pageMargins left="0.39" right="0.26" top="0.23" bottom="0.5" header="0.23" footer="0.16"/>
  <pageSetup scale="83" orientation="landscape" r:id="rId1"/>
  <headerFooter alignWithMargins="0">
    <oddFooter>&amp;C&amp;A
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T250"/>
  <sheetViews>
    <sheetView topLeftCell="A16" workbookViewId="0">
      <selection activeCell="G64" sqref="G64"/>
    </sheetView>
  </sheetViews>
  <sheetFormatPr defaultRowHeight="12.5" x14ac:dyDescent="0.25"/>
  <cols>
    <col min="1" max="1" width="11" customWidth="1"/>
    <col min="2" max="2" width="14.26953125" style="6" bestFit="1" customWidth="1"/>
    <col min="3" max="3" width="17.7265625" style="6" customWidth="1"/>
    <col min="4" max="5" width="12.54296875" style="6" customWidth="1"/>
    <col min="6" max="6" width="12.81640625" style="6" bestFit="1" customWidth="1"/>
    <col min="7" max="8" width="12.81640625" style="6" customWidth="1"/>
    <col min="14" max="14" width="23.1796875" bestFit="1" customWidth="1"/>
    <col min="15" max="15" width="22.1796875" bestFit="1" customWidth="1"/>
    <col min="16" max="16" width="27.26953125" bestFit="1" customWidth="1"/>
    <col min="17" max="17" width="29.26953125" bestFit="1" customWidth="1"/>
  </cols>
  <sheetData>
    <row r="1" spans="1:150" ht="42" customHeight="1" x14ac:dyDescent="0.3">
      <c r="A1" s="13"/>
      <c r="B1" s="196" t="str">
        <f>'Rate Class Customer Model'!D2</f>
        <v>General Service 50 to 2999 kW</v>
      </c>
      <c r="C1" s="196" t="str">
        <f>'Rate Class Customer Model'!E2</f>
        <v>General Service 3000 to 4999 kW</v>
      </c>
      <c r="D1" s="196" t="str">
        <f>'Rate Class Customer Model'!F2</f>
        <v>Street Lighting</v>
      </c>
      <c r="E1" s="196" t="str">
        <f>'Rate Class Customer Model'!G2</f>
        <v>Sentinel Lighting</v>
      </c>
      <c r="F1" s="197" t="s">
        <v>10</v>
      </c>
      <c r="G1" s="197"/>
      <c r="H1" s="197"/>
      <c r="N1" s="353" t="s">
        <v>221</v>
      </c>
      <c r="O1" s="354"/>
      <c r="P1" s="354"/>
      <c r="Q1" s="355"/>
      <c r="R1" s="356"/>
    </row>
    <row r="2" spans="1:150" s="43" customFormat="1" ht="26" x14ac:dyDescent="0.3">
      <c r="A2" s="48">
        <v>1999</v>
      </c>
      <c r="B2" s="177">
        <v>604561.49</v>
      </c>
      <c r="C2" s="177">
        <v>200911.4</v>
      </c>
      <c r="D2" s="177">
        <v>8604</v>
      </c>
      <c r="E2" s="177">
        <v>1469</v>
      </c>
      <c r="F2" s="6">
        <f>SUM(B2:E2)</f>
        <v>815545.89</v>
      </c>
      <c r="G2" s="6"/>
      <c r="H2" s="6"/>
      <c r="I2" s="25"/>
      <c r="J2" s="25"/>
      <c r="K2" s="25"/>
      <c r="L2" s="25"/>
      <c r="M2" s="25"/>
      <c r="N2" s="392" t="s">
        <v>209</v>
      </c>
      <c r="O2" s="393" t="s">
        <v>210</v>
      </c>
      <c r="P2" s="393" t="s">
        <v>142</v>
      </c>
      <c r="Q2" s="393" t="s">
        <v>143</v>
      </c>
      <c r="R2" s="372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5"/>
      <c r="CP2" s="25"/>
      <c r="CQ2" s="25"/>
      <c r="CR2" s="25"/>
      <c r="CS2" s="25"/>
      <c r="CT2" s="25"/>
      <c r="CU2" s="25"/>
      <c r="CV2" s="25"/>
      <c r="CW2" s="25"/>
      <c r="CX2" s="25"/>
      <c r="CY2" s="25"/>
      <c r="CZ2" s="25"/>
      <c r="DA2" s="25"/>
      <c r="DB2" s="25"/>
      <c r="DC2" s="25"/>
      <c r="DD2" s="25"/>
      <c r="DE2" s="25"/>
      <c r="DF2" s="25"/>
      <c r="DG2" s="25"/>
      <c r="DH2" s="25"/>
      <c r="DI2" s="25"/>
      <c r="DJ2" s="25"/>
      <c r="DK2" s="25"/>
      <c r="DL2" s="25"/>
      <c r="DM2" s="25"/>
      <c r="DN2" s="25"/>
      <c r="DO2" s="25"/>
      <c r="DP2" s="25"/>
      <c r="DQ2" s="25"/>
      <c r="DR2" s="25"/>
      <c r="DS2" s="25"/>
      <c r="DT2" s="25"/>
      <c r="DU2" s="25"/>
      <c r="DV2" s="25"/>
      <c r="DW2" s="25"/>
      <c r="DX2" s="25"/>
      <c r="DY2" s="25"/>
      <c r="DZ2" s="25"/>
      <c r="EA2" s="25"/>
      <c r="EB2" s="25"/>
      <c r="EC2" s="25"/>
      <c r="ED2" s="25"/>
      <c r="EE2" s="25"/>
      <c r="EF2" s="25"/>
      <c r="EG2" s="25"/>
      <c r="EH2" s="25"/>
      <c r="EI2" s="25"/>
      <c r="EJ2" s="25"/>
      <c r="EK2" s="25"/>
      <c r="EL2" s="25"/>
      <c r="EM2" s="25"/>
      <c r="EN2" s="25"/>
      <c r="EO2" s="25"/>
      <c r="EP2" s="25"/>
      <c r="EQ2" s="25"/>
      <c r="ER2" s="25"/>
      <c r="ES2" s="25"/>
      <c r="ET2" s="25"/>
    </row>
    <row r="3" spans="1:150" x14ac:dyDescent="0.25">
      <c r="A3" s="24">
        <v>2000</v>
      </c>
      <c r="B3" s="177">
        <v>615896.57999999996</v>
      </c>
      <c r="C3" s="177">
        <v>210331.37</v>
      </c>
      <c r="D3" s="177">
        <v>8004.8</v>
      </c>
      <c r="E3" s="177">
        <v>1026</v>
      </c>
      <c r="F3" s="6">
        <f>SUM(B3:E3)</f>
        <v>835258.75</v>
      </c>
      <c r="I3" s="25"/>
      <c r="J3" s="25"/>
      <c r="K3" s="25"/>
      <c r="L3" s="25"/>
      <c r="M3" s="25"/>
      <c r="N3" s="380"/>
      <c r="O3" s="121"/>
      <c r="P3" s="121"/>
      <c r="Q3" s="121"/>
      <c r="R3" s="372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5"/>
      <c r="EI3" s="25"/>
      <c r="EJ3" s="25"/>
      <c r="EK3" s="25"/>
      <c r="EL3" s="25"/>
      <c r="EM3" s="25"/>
      <c r="EN3" s="25"/>
      <c r="EO3" s="25"/>
      <c r="EP3" s="25"/>
      <c r="EQ3" s="25"/>
      <c r="ER3" s="25"/>
      <c r="ES3" s="25"/>
      <c r="ET3" s="25"/>
    </row>
    <row r="4" spans="1:150" x14ac:dyDescent="0.25">
      <c r="A4" s="24">
        <v>2001</v>
      </c>
      <c r="B4" s="178">
        <v>618479.91</v>
      </c>
      <c r="C4" s="178">
        <v>182444.07</v>
      </c>
      <c r="D4" s="177">
        <v>8801.16</v>
      </c>
      <c r="E4" s="177">
        <v>1013</v>
      </c>
      <c r="F4" s="6">
        <f t="shared" ref="F4:F13" si="0">SUM(B4:E4)</f>
        <v>810738.14</v>
      </c>
      <c r="I4" s="25"/>
      <c r="J4" s="25"/>
      <c r="K4" s="25"/>
      <c r="L4" s="25"/>
      <c r="M4" s="25"/>
      <c r="N4" s="380"/>
      <c r="O4" s="121"/>
      <c r="P4" s="121"/>
      <c r="Q4" s="121"/>
      <c r="R4" s="372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</row>
    <row r="5" spans="1:150" x14ac:dyDescent="0.25">
      <c r="A5" s="24">
        <v>2002</v>
      </c>
      <c r="B5" s="178">
        <v>599393.30000000005</v>
      </c>
      <c r="C5" s="178">
        <v>116994.94</v>
      </c>
      <c r="D5" s="177">
        <v>8805.7199999999993</v>
      </c>
      <c r="E5" s="177">
        <v>1494.9</v>
      </c>
      <c r="F5" s="6">
        <f t="shared" si="0"/>
        <v>726688.86</v>
      </c>
      <c r="I5" s="25"/>
      <c r="J5" s="25"/>
      <c r="K5" s="25"/>
      <c r="L5" s="25"/>
      <c r="M5" s="25"/>
      <c r="N5" s="380"/>
      <c r="O5" s="121"/>
      <c r="P5" s="121"/>
      <c r="Q5" s="121"/>
      <c r="R5" s="372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</row>
    <row r="6" spans="1:150" x14ac:dyDescent="0.25">
      <c r="A6" s="24">
        <v>2003</v>
      </c>
      <c r="B6" s="21">
        <v>593814.14</v>
      </c>
      <c r="C6" s="178">
        <v>107185.13</v>
      </c>
      <c r="D6" s="179">
        <v>9600</v>
      </c>
      <c r="E6" s="179">
        <v>1608.2</v>
      </c>
      <c r="F6" s="6">
        <f>SUM(B6:E6)</f>
        <v>712207.47</v>
      </c>
      <c r="I6" s="25"/>
      <c r="J6" s="25"/>
      <c r="K6" s="25"/>
      <c r="L6" s="25"/>
      <c r="M6" s="25"/>
      <c r="N6" s="380"/>
      <c r="O6" s="121"/>
      <c r="P6" s="121"/>
      <c r="Q6" s="121"/>
      <c r="R6" s="372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</row>
    <row r="7" spans="1:150" x14ac:dyDescent="0.25">
      <c r="A7" s="24">
        <v>2004</v>
      </c>
      <c r="B7" s="178">
        <v>590317.42000000004</v>
      </c>
      <c r="C7" s="178">
        <v>109315.81</v>
      </c>
      <c r="D7" s="179">
        <v>9618.24</v>
      </c>
      <c r="E7" s="179">
        <v>1734.77</v>
      </c>
      <c r="F7" s="6">
        <f t="shared" si="0"/>
        <v>710986.23999999999</v>
      </c>
      <c r="I7" s="25"/>
      <c r="J7" s="25"/>
      <c r="K7" s="25"/>
      <c r="L7" s="25"/>
      <c r="M7" s="25"/>
      <c r="N7" s="380"/>
      <c r="O7" s="121"/>
      <c r="P7" s="121"/>
      <c r="Q7" s="121"/>
      <c r="R7" s="372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</row>
    <row r="8" spans="1:150" x14ac:dyDescent="0.25">
      <c r="A8" s="24">
        <v>2005</v>
      </c>
      <c r="B8" s="178">
        <v>613159.62</v>
      </c>
      <c r="C8" s="178">
        <v>109679.8</v>
      </c>
      <c r="D8" s="179">
        <v>9192</v>
      </c>
      <c r="E8" s="179">
        <v>1703.85</v>
      </c>
      <c r="F8" s="6">
        <f t="shared" si="0"/>
        <v>733735.27</v>
      </c>
      <c r="I8" s="25"/>
      <c r="J8" s="25"/>
      <c r="K8" s="25"/>
      <c r="L8" s="25"/>
      <c r="M8" s="25"/>
      <c r="N8" s="380"/>
      <c r="O8" s="121"/>
      <c r="P8" s="121"/>
      <c r="Q8" s="121"/>
      <c r="R8" s="372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</row>
    <row r="9" spans="1:150" x14ac:dyDescent="0.25">
      <c r="A9" s="24">
        <v>2006</v>
      </c>
      <c r="B9" s="178">
        <v>602160.47</v>
      </c>
      <c r="C9" s="178">
        <v>96179.77</v>
      </c>
      <c r="D9" s="179">
        <v>9192</v>
      </c>
      <c r="E9" s="179">
        <v>1594.68</v>
      </c>
      <c r="F9" s="6">
        <f t="shared" si="0"/>
        <v>709126.92</v>
      </c>
      <c r="I9" s="25"/>
      <c r="J9" s="25"/>
      <c r="K9" s="25"/>
      <c r="L9" s="25"/>
      <c r="M9" s="25"/>
      <c r="N9" s="380"/>
      <c r="O9" s="121"/>
      <c r="P9" s="121"/>
      <c r="Q9" s="121"/>
      <c r="R9" s="372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</row>
    <row r="10" spans="1:150" x14ac:dyDescent="0.25">
      <c r="A10" s="24">
        <v>2007</v>
      </c>
      <c r="B10" s="178">
        <v>604779.68000000005</v>
      </c>
      <c r="C10" s="178">
        <v>95579.78</v>
      </c>
      <c r="D10" s="179">
        <v>9238.56</v>
      </c>
      <c r="E10" s="179">
        <v>1542.98</v>
      </c>
      <c r="F10" s="6">
        <f t="shared" si="0"/>
        <v>711141.00000000012</v>
      </c>
      <c r="I10" s="25"/>
      <c r="J10" s="25"/>
      <c r="K10" s="25"/>
      <c r="L10" s="25"/>
      <c r="M10" s="25"/>
      <c r="N10" s="380"/>
      <c r="O10" s="121"/>
      <c r="P10" s="121"/>
      <c r="Q10" s="121"/>
      <c r="R10" s="372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</row>
    <row r="11" spans="1:150" x14ac:dyDescent="0.25">
      <c r="A11" s="24">
        <v>2008</v>
      </c>
      <c r="B11" s="177">
        <v>602776.31999999995</v>
      </c>
      <c r="C11" s="177">
        <v>88903.8</v>
      </c>
      <c r="D11" s="177">
        <v>9270.1200000000008</v>
      </c>
      <c r="E11" s="177">
        <v>1530.54</v>
      </c>
      <c r="F11" s="6">
        <f t="shared" si="0"/>
        <v>702480.78</v>
      </c>
      <c r="I11" s="25"/>
      <c r="J11" s="25"/>
      <c r="K11" s="25"/>
      <c r="L11" s="25"/>
      <c r="M11" s="25"/>
      <c r="N11" s="380"/>
      <c r="O11" s="121"/>
      <c r="P11" s="121"/>
      <c r="Q11" s="121"/>
      <c r="R11" s="372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</row>
    <row r="12" spans="1:150" x14ac:dyDescent="0.25">
      <c r="A12" s="24">
        <v>2009</v>
      </c>
      <c r="B12" s="178">
        <v>584819</v>
      </c>
      <c r="C12" s="178">
        <v>79624</v>
      </c>
      <c r="D12" s="178">
        <v>9285</v>
      </c>
      <c r="E12" s="178">
        <v>1506</v>
      </c>
      <c r="F12" s="6">
        <f t="shared" si="0"/>
        <v>675234</v>
      </c>
      <c r="I12" s="25"/>
      <c r="J12" s="25"/>
      <c r="K12" s="25"/>
      <c r="L12" s="25"/>
      <c r="M12" s="25"/>
      <c r="N12" s="380"/>
      <c r="O12" s="121"/>
      <c r="P12" s="121"/>
      <c r="Q12" s="121"/>
      <c r="R12" s="372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</row>
    <row r="13" spans="1:150" x14ac:dyDescent="0.25">
      <c r="A13" s="24">
        <v>2010</v>
      </c>
      <c r="B13" s="178">
        <v>588203.21</v>
      </c>
      <c r="C13" s="178">
        <v>78059.55</v>
      </c>
      <c r="D13" s="178">
        <v>9284.76</v>
      </c>
      <c r="E13" s="178">
        <v>1541.04</v>
      </c>
      <c r="F13" s="6">
        <f t="shared" si="0"/>
        <v>677088.56</v>
      </c>
      <c r="I13" s="25"/>
      <c r="J13" s="25"/>
      <c r="K13" s="25"/>
      <c r="L13" s="25"/>
      <c r="M13" s="25"/>
      <c r="N13" s="380"/>
      <c r="O13" s="121"/>
      <c r="P13" s="121"/>
      <c r="Q13" s="121"/>
      <c r="R13" s="372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</row>
    <row r="14" spans="1:150" x14ac:dyDescent="0.25">
      <c r="A14" s="24">
        <v>2011</v>
      </c>
      <c r="B14" s="178">
        <v>582945.86</v>
      </c>
      <c r="C14" s="178">
        <v>70473.350000000006</v>
      </c>
      <c r="D14" s="178">
        <v>9041.75</v>
      </c>
      <c r="E14" s="178">
        <v>1286.7100000000016</v>
      </c>
      <c r="F14" s="6">
        <f t="shared" ref="F14:F22" si="1">SUM(B14:E14)</f>
        <v>663747.66999999993</v>
      </c>
      <c r="I14" s="25"/>
      <c r="J14" s="25"/>
      <c r="K14" s="25"/>
      <c r="L14" s="25"/>
      <c r="M14" s="25"/>
      <c r="N14" s="380"/>
      <c r="O14" s="121"/>
      <c r="P14" s="121"/>
      <c r="Q14" s="121"/>
      <c r="R14" s="372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</row>
    <row r="15" spans="1:150" x14ac:dyDescent="0.25">
      <c r="A15" s="24">
        <v>2012</v>
      </c>
      <c r="B15" s="178">
        <v>540969</v>
      </c>
      <c r="C15" s="178">
        <v>68480</v>
      </c>
      <c r="D15" s="178">
        <v>7788</v>
      </c>
      <c r="E15" s="178">
        <f>2345-744</f>
        <v>1601</v>
      </c>
      <c r="F15" s="6">
        <f t="shared" si="1"/>
        <v>618838</v>
      </c>
      <c r="I15" s="25"/>
      <c r="J15" s="25"/>
      <c r="K15" s="25"/>
      <c r="L15" s="25"/>
      <c r="M15" s="25"/>
      <c r="N15" s="380"/>
      <c r="O15" s="121"/>
      <c r="P15" s="121"/>
      <c r="Q15" s="121"/>
      <c r="R15" s="372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</row>
    <row r="16" spans="1:150" x14ac:dyDescent="0.25">
      <c r="A16" s="24">
        <v>2013</v>
      </c>
      <c r="B16" s="178">
        <v>535312.51999999979</v>
      </c>
      <c r="C16" s="192">
        <v>69448.33</v>
      </c>
      <c r="D16" s="178">
        <v>6559.4</v>
      </c>
      <c r="E16" s="192">
        <v>1224.070000000002</v>
      </c>
      <c r="F16" s="6">
        <f t="shared" si="1"/>
        <v>612544.31999999972</v>
      </c>
      <c r="I16" s="25"/>
      <c r="J16" s="25"/>
      <c r="K16" s="25"/>
      <c r="L16" s="25"/>
      <c r="M16" s="25"/>
      <c r="N16" s="380"/>
      <c r="O16" s="121"/>
      <c r="P16" s="121"/>
      <c r="Q16" s="121"/>
      <c r="R16" s="372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</row>
    <row r="17" spans="1:150" x14ac:dyDescent="0.25">
      <c r="A17" s="24">
        <v>2014</v>
      </c>
      <c r="B17" s="178">
        <v>533378.05000000005</v>
      </c>
      <c r="C17" s="192">
        <v>54354.869999999995</v>
      </c>
      <c r="D17" s="178">
        <v>5677.1200000000008</v>
      </c>
      <c r="E17" s="192">
        <v>1178.6100000000022</v>
      </c>
      <c r="F17" s="6">
        <f t="shared" si="1"/>
        <v>594588.65</v>
      </c>
      <c r="I17" s="25"/>
      <c r="J17" s="25"/>
      <c r="K17" s="25"/>
      <c r="L17" s="25"/>
      <c r="M17" s="25"/>
      <c r="N17" s="380"/>
      <c r="O17" s="121"/>
      <c r="P17" s="121"/>
      <c r="Q17" s="121"/>
      <c r="R17" s="372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</row>
    <row r="18" spans="1:150" x14ac:dyDescent="0.25">
      <c r="A18" s="24">
        <v>2015</v>
      </c>
      <c r="B18" s="177">
        <v>537897.68000000017</v>
      </c>
      <c r="C18" s="177">
        <v>39466.039999999994</v>
      </c>
      <c r="D18" s="279">
        <v>5690.27</v>
      </c>
      <c r="E18" s="177">
        <v>1033.7400000000014</v>
      </c>
      <c r="F18" s="6">
        <f t="shared" si="1"/>
        <v>584087.73000000021</v>
      </c>
      <c r="I18" s="25"/>
      <c r="J18" s="25"/>
      <c r="K18" s="25"/>
      <c r="L18" s="25"/>
      <c r="M18" s="25"/>
      <c r="N18" s="394">
        <v>523491.9375038062</v>
      </c>
      <c r="O18" s="395">
        <v>33217.437720696485</v>
      </c>
      <c r="P18" s="395">
        <v>5426.957697973914</v>
      </c>
      <c r="Q18" s="395">
        <v>968.30222985814169</v>
      </c>
      <c r="R18" s="396">
        <f>+SUM(N18:Q18)</f>
        <v>563104.6351523347</v>
      </c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</row>
    <row r="19" spans="1:150" x14ac:dyDescent="0.25">
      <c r="A19" s="24">
        <v>2016</v>
      </c>
      <c r="B19" s="177">
        <v>529360.3600000001</v>
      </c>
      <c r="C19" s="177">
        <v>35717.369999999995</v>
      </c>
      <c r="D19" s="279">
        <v>5690.28</v>
      </c>
      <c r="E19" s="177">
        <v>406.11999999999938</v>
      </c>
      <c r="F19" s="6">
        <f t="shared" si="1"/>
        <v>571174.13000000012</v>
      </c>
      <c r="G19" s="21"/>
      <c r="H19" s="21"/>
      <c r="I19" s="25"/>
      <c r="J19" s="25"/>
      <c r="K19" s="25"/>
      <c r="L19" s="25"/>
      <c r="M19" s="25"/>
      <c r="N19" s="394">
        <v>515202.84769815218</v>
      </c>
      <c r="O19" s="395">
        <v>33339.641454058015</v>
      </c>
      <c r="P19" s="395">
        <v>5766.691557852846</v>
      </c>
      <c r="Q19" s="395">
        <v>428.82207146853239</v>
      </c>
      <c r="R19" s="396">
        <f t="shared" ref="R19:R22" si="2">+SUM(N19:Q19)</f>
        <v>554738.00278153166</v>
      </c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</row>
    <row r="20" spans="1:150" x14ac:dyDescent="0.25">
      <c r="A20" s="24">
        <v>2017</v>
      </c>
      <c r="B20" s="177">
        <v>528741.1399999999</v>
      </c>
      <c r="C20" s="177">
        <v>30516.22</v>
      </c>
      <c r="D20" s="279">
        <v>5690.28</v>
      </c>
      <c r="E20" s="177">
        <v>329.73999999999944</v>
      </c>
      <c r="F20" s="6">
        <f t="shared" si="1"/>
        <v>565277.37999999989</v>
      </c>
      <c r="G20" s="21"/>
      <c r="H20" s="21"/>
      <c r="I20" s="25"/>
      <c r="J20" s="25"/>
      <c r="K20" s="25"/>
      <c r="L20" s="25"/>
      <c r="M20" s="25"/>
      <c r="N20" s="394">
        <v>521463.84506288206</v>
      </c>
      <c r="O20" s="395">
        <v>33265.590319929914</v>
      </c>
      <c r="P20" s="395">
        <v>5834.7651320426166</v>
      </c>
      <c r="Q20" s="395">
        <v>359.41067285734442</v>
      </c>
      <c r="R20" s="396">
        <f t="shared" si="2"/>
        <v>560923.61118771182</v>
      </c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</row>
    <row r="21" spans="1:150" x14ac:dyDescent="0.25">
      <c r="A21" s="24">
        <v>2018</v>
      </c>
      <c r="B21" s="177">
        <v>522247.32</v>
      </c>
      <c r="C21" s="177">
        <v>30271.190000000002</v>
      </c>
      <c r="D21" s="279">
        <v>5690.28</v>
      </c>
      <c r="E21" s="177">
        <v>315.71999999999952</v>
      </c>
      <c r="F21" s="6">
        <f t="shared" si="1"/>
        <v>558524.51</v>
      </c>
      <c r="G21" s="21"/>
      <c r="H21" s="21"/>
      <c r="I21" s="25"/>
      <c r="J21" s="25"/>
      <c r="K21" s="25"/>
      <c r="L21" s="25"/>
      <c r="M21" s="25"/>
      <c r="N21" s="394">
        <v>506211.87826594833</v>
      </c>
      <c r="O21" s="395">
        <v>31688.883194608377</v>
      </c>
      <c r="P21" s="395">
        <v>5660.6485986593498</v>
      </c>
      <c r="Q21" s="395">
        <v>337.66474317252329</v>
      </c>
      <c r="R21" s="396">
        <f t="shared" si="2"/>
        <v>543899.07480238844</v>
      </c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</row>
    <row r="22" spans="1:150" ht="13" thickBot="1" x14ac:dyDescent="0.3">
      <c r="A22" s="24">
        <v>2019</v>
      </c>
      <c r="B22" s="177">
        <v>523294.41</v>
      </c>
      <c r="C22" s="177">
        <v>29275.15</v>
      </c>
      <c r="D22" s="279">
        <v>5690.28</v>
      </c>
      <c r="E22" s="177">
        <v>310.34000000000003</v>
      </c>
      <c r="F22" s="6">
        <f t="shared" si="1"/>
        <v>558570.17999999993</v>
      </c>
      <c r="G22" s="21"/>
      <c r="H22" s="21"/>
      <c r="I22" s="25"/>
      <c r="J22" s="25"/>
      <c r="K22" s="25"/>
      <c r="L22" s="25"/>
      <c r="M22" s="25"/>
      <c r="N22" s="397">
        <v>506827.23523567343</v>
      </c>
      <c r="O22" s="398">
        <v>30101.845140953283</v>
      </c>
      <c r="P22" s="398">
        <v>5682.1347392453217</v>
      </c>
      <c r="Q22" s="398">
        <v>331.96161445863692</v>
      </c>
      <c r="R22" s="399">
        <f t="shared" si="2"/>
        <v>542943.17673033057</v>
      </c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</row>
    <row r="23" spans="1:150" s="43" customFormat="1" x14ac:dyDescent="0.25">
      <c r="A23" s="24">
        <v>2020</v>
      </c>
      <c r="B23" s="193">
        <f>+'Rate Class Energy Model'!J71*B$54+B31-B33</f>
        <v>518926.85911675467</v>
      </c>
      <c r="C23" s="193">
        <f>+'Rate Class Energy Model'!K71*C$54</f>
        <v>27927.216521161627</v>
      </c>
      <c r="D23" s="193">
        <f>+'Rate Class Energy Model'!L71*D$54</f>
        <v>5690.28</v>
      </c>
      <c r="E23" s="193">
        <f>+'Rate Class Energy Model'!M71*E$54</f>
        <v>304.29369952634471</v>
      </c>
      <c r="F23" s="6">
        <f>SUM(B23:E23)</f>
        <v>552848.64933744271</v>
      </c>
      <c r="G23" s="281"/>
      <c r="H23" s="21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</row>
    <row r="24" spans="1:150" x14ac:dyDescent="0.25">
      <c r="A24" s="24">
        <v>2021</v>
      </c>
      <c r="B24" s="193">
        <f>+'Rate Class Energy Model'!J72*B$54+B32-B34</f>
        <v>514190.46940316743</v>
      </c>
      <c r="C24" s="193">
        <f>+'Rate Class Energy Model'!K72*C$54</f>
        <v>27098.262991662719</v>
      </c>
      <c r="D24" s="193">
        <f>+'Rate Class Energy Model'!L72*D$54</f>
        <v>5690.28</v>
      </c>
      <c r="E24" s="193">
        <f>+'Rate Class Energy Model'!M72*E$54</f>
        <v>298.32715639837716</v>
      </c>
      <c r="F24" s="6">
        <f>SUM(B24:E24)</f>
        <v>547277.33955122845</v>
      </c>
      <c r="G24" s="281"/>
      <c r="H24" s="21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</row>
    <row r="25" spans="1:150" x14ac:dyDescent="0.25">
      <c r="B25"/>
      <c r="C25"/>
      <c r="D25"/>
      <c r="E25"/>
      <c r="F25" s="21"/>
      <c r="G25" s="21"/>
      <c r="H25" s="21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</row>
    <row r="26" spans="1:150" x14ac:dyDescent="0.25">
      <c r="B26"/>
      <c r="C26"/>
      <c r="D26"/>
      <c r="E26"/>
      <c r="F26" s="21"/>
      <c r="G26" s="21"/>
      <c r="H26" s="21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</row>
    <row r="27" spans="1:150" ht="13" x14ac:dyDescent="0.3">
      <c r="A27" s="24">
        <v>2020</v>
      </c>
      <c r="B27" s="175">
        <v>526474.92072791478</v>
      </c>
      <c r="C27" s="175">
        <v>28781.528279499042</v>
      </c>
      <c r="D27" s="175">
        <v>5690.28</v>
      </c>
      <c r="E27" s="175">
        <v>304.29369952634471</v>
      </c>
      <c r="F27" s="281" t="s">
        <v>184</v>
      </c>
      <c r="G27" s="21"/>
      <c r="H27" s="21"/>
      <c r="I27" s="400" t="s">
        <v>185</v>
      </c>
      <c r="J27" s="401"/>
      <c r="K27" s="401"/>
      <c r="L27" s="401"/>
      <c r="M27" s="401"/>
      <c r="N27" s="401"/>
      <c r="O27" s="401"/>
      <c r="P27" s="401"/>
      <c r="Q27" s="401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</row>
    <row r="28" spans="1:150" x14ac:dyDescent="0.25">
      <c r="A28" s="24">
        <v>2021</v>
      </c>
      <c r="B28" s="175">
        <v>528913.28315318841</v>
      </c>
      <c r="C28" s="175">
        <v>28781.528279499042</v>
      </c>
      <c r="D28" s="175">
        <v>5690.28</v>
      </c>
      <c r="E28" s="175">
        <v>298.32715639837716</v>
      </c>
      <c r="F28" s="281" t="s">
        <v>184</v>
      </c>
      <c r="G28" s="21"/>
      <c r="H28" s="21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</row>
    <row r="29" spans="1:150" x14ac:dyDescent="0.25">
      <c r="A29" s="24">
        <v>2020</v>
      </c>
      <c r="B29" s="175">
        <v>519873.09461274423</v>
      </c>
      <c r="C29" s="175">
        <v>28781.528279499042</v>
      </c>
      <c r="D29" s="175">
        <v>5690.28</v>
      </c>
      <c r="E29" s="175">
        <v>304.29369952634471</v>
      </c>
      <c r="F29" s="288" t="s">
        <v>178</v>
      </c>
      <c r="G29" s="21"/>
      <c r="H29" s="21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</row>
    <row r="30" spans="1:150" x14ac:dyDescent="0.25">
      <c r="A30" s="24">
        <v>2021</v>
      </c>
      <c r="B30" s="175">
        <v>522311.45703801792</v>
      </c>
      <c r="C30" s="175">
        <v>28781.528279499042</v>
      </c>
      <c r="D30" s="175">
        <v>5690.28</v>
      </c>
      <c r="E30" s="175">
        <v>298.32715639837716</v>
      </c>
      <c r="F30" s="288" t="s">
        <v>178</v>
      </c>
      <c r="G30" s="21"/>
      <c r="H30" s="21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5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</row>
    <row r="31" spans="1:150" x14ac:dyDescent="0.25">
      <c r="A31" s="210" t="s">
        <v>180</v>
      </c>
      <c r="B31" s="289">
        <v>6601.8261151705519</v>
      </c>
      <c r="C31" s="175"/>
      <c r="D31" s="175"/>
      <c r="E31" s="175"/>
      <c r="F31" s="288"/>
      <c r="G31" s="21"/>
      <c r="H31" s="21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</row>
    <row r="32" spans="1:150" x14ac:dyDescent="0.25">
      <c r="A32" t="s">
        <v>179</v>
      </c>
      <c r="B32" s="289">
        <v>6601.8261151704937</v>
      </c>
      <c r="C32" s="289">
        <f>+C28-C30</f>
        <v>0</v>
      </c>
      <c r="D32" s="289">
        <f>+D28-D30</f>
        <v>0</v>
      </c>
      <c r="E32" s="289">
        <f>+E28-E30</f>
        <v>0</v>
      </c>
      <c r="F32" s="21"/>
      <c r="G32" s="21"/>
      <c r="H32" s="21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</row>
    <row r="33" spans="1:150" x14ac:dyDescent="0.25">
      <c r="A33" s="210" t="s">
        <v>186</v>
      </c>
      <c r="B33" s="289">
        <v>381.5</v>
      </c>
      <c r="C33" s="289"/>
      <c r="D33" s="289"/>
      <c r="E33" s="289"/>
      <c r="F33" s="21"/>
      <c r="G33" s="21"/>
      <c r="H33" s="21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</row>
    <row r="34" spans="1:150" x14ac:dyDescent="0.25">
      <c r="A34" s="210" t="s">
        <v>186</v>
      </c>
      <c r="B34" s="289">
        <v>381.5</v>
      </c>
      <c r="C34" s="289"/>
      <c r="D34" s="289"/>
      <c r="E34" s="289"/>
      <c r="F34" s="21"/>
      <c r="G34" s="21"/>
      <c r="H34" s="21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25"/>
      <c r="DG34" s="25"/>
      <c r="DH34" s="25"/>
      <c r="DI34" s="25"/>
      <c r="DJ34" s="25"/>
      <c r="DK34" s="25"/>
      <c r="DL34" s="25"/>
      <c r="DM34" s="25"/>
      <c r="DN34" s="25"/>
      <c r="DO34" s="25"/>
      <c r="DP34" s="25"/>
      <c r="DQ34" s="25"/>
      <c r="DR34" s="25"/>
      <c r="DS34" s="25"/>
      <c r="DT34" s="25"/>
      <c r="DU34" s="25"/>
      <c r="DV34" s="25"/>
      <c r="DW34" s="25"/>
      <c r="DX34" s="25"/>
      <c r="DY34" s="25"/>
      <c r="DZ34" s="25"/>
      <c r="EA34" s="25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  <c r="ES34" s="25"/>
      <c r="ET34" s="25"/>
    </row>
    <row r="35" spans="1:150" ht="14.5" x14ac:dyDescent="0.35">
      <c r="A35" s="14"/>
      <c r="B35" s="205"/>
      <c r="C35" s="21"/>
      <c r="D35" s="21"/>
      <c r="E35" s="21"/>
      <c r="F35" s="21"/>
      <c r="G35" s="21"/>
      <c r="H35" s="21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5"/>
      <c r="DL35" s="25"/>
      <c r="DM35" s="25"/>
      <c r="DN35" s="25"/>
      <c r="DO35" s="25"/>
      <c r="DP35" s="25"/>
      <c r="DQ35" s="25"/>
      <c r="DR35" s="25"/>
      <c r="DS35" s="25"/>
      <c r="DT35" s="25"/>
      <c r="DU35" s="25"/>
      <c r="DV35" s="25"/>
      <c r="DW35" s="25"/>
      <c r="DX35" s="25"/>
      <c r="DY35" s="25"/>
      <c r="DZ35" s="25"/>
      <c r="EA35" s="25"/>
      <c r="EB35" s="25"/>
      <c r="EC35" s="25"/>
      <c r="ED35" s="25"/>
      <c r="EE35" s="25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5"/>
      <c r="EQ35" s="25"/>
      <c r="ER35" s="25"/>
      <c r="ES35" s="25"/>
      <c r="ET35" s="25"/>
    </row>
    <row r="36" spans="1:150" ht="14.5" x14ac:dyDescent="0.35">
      <c r="A36" s="13" t="s">
        <v>56</v>
      </c>
      <c r="B36" s="122"/>
      <c r="C36" s="206"/>
      <c r="D36" s="128"/>
      <c r="E36" s="128"/>
      <c r="F36" s="21"/>
      <c r="G36" s="21"/>
      <c r="H36" s="21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  <c r="CX36" s="25"/>
      <c r="CY36" s="25"/>
      <c r="CZ36" s="25"/>
      <c r="DA36" s="25"/>
      <c r="DB36" s="25"/>
      <c r="DC36" s="25"/>
      <c r="DD36" s="25"/>
      <c r="DE36" s="25"/>
      <c r="DF36" s="25"/>
      <c r="DG36" s="25"/>
      <c r="DH36" s="25"/>
      <c r="DI36" s="25"/>
      <c r="DJ36" s="25"/>
      <c r="DK36" s="25"/>
      <c r="DL36" s="25"/>
      <c r="DM36" s="25"/>
      <c r="DN36" s="25"/>
      <c r="DO36" s="25"/>
      <c r="DP36" s="25"/>
      <c r="DQ36" s="25"/>
      <c r="DR36" s="25"/>
      <c r="DS36" s="25"/>
      <c r="DT36" s="25"/>
      <c r="DU36" s="25"/>
      <c r="DV36" s="25"/>
      <c r="DW36" s="25"/>
      <c r="DX36" s="25"/>
      <c r="DY36" s="25"/>
      <c r="DZ36" s="25"/>
      <c r="EA36" s="25"/>
      <c r="EB36" s="25"/>
      <c r="EC36" s="25"/>
      <c r="ED36" s="25"/>
      <c r="EE36" s="25"/>
      <c r="EF36" s="25"/>
      <c r="EG36" s="25"/>
      <c r="EH36" s="25"/>
      <c r="EI36" s="25"/>
      <c r="EJ36" s="25"/>
      <c r="EK36" s="25"/>
      <c r="EL36" s="25"/>
      <c r="EM36" s="25"/>
      <c r="EN36" s="25"/>
      <c r="EO36" s="25"/>
      <c r="EP36" s="25"/>
      <c r="EQ36" s="25"/>
      <c r="ER36" s="25"/>
      <c r="ES36" s="25"/>
      <c r="ET36" s="25"/>
    </row>
    <row r="37" spans="1:150" x14ac:dyDescent="0.25">
      <c r="A37" s="4">
        <v>2005</v>
      </c>
      <c r="B37" s="22">
        <f>B8/'Rate Class Energy Model'!J6</f>
        <v>2.9110987501077342E-3</v>
      </c>
      <c r="C37" s="22">
        <f>C8/'Rate Class Energy Model'!K6</f>
        <v>1.9222936332357473E-3</v>
      </c>
      <c r="D37" s="22">
        <f>D8/'Rate Class Energy Model'!L6</f>
        <v>2.794325971549019E-3</v>
      </c>
      <c r="E37" s="22">
        <f>E8/'Rate Class Energy Model'!M6</f>
        <v>2.7629302696138983E-3</v>
      </c>
      <c r="F37" s="21"/>
      <c r="G37" s="21"/>
      <c r="H37" s="21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/>
      <c r="CT37" s="25"/>
      <c r="CU37" s="25"/>
      <c r="CV37" s="25"/>
      <c r="CW37" s="25"/>
      <c r="CX37" s="25"/>
      <c r="CY37" s="25"/>
      <c r="CZ37" s="25"/>
      <c r="DA37" s="25"/>
      <c r="DB37" s="25"/>
      <c r="DC37" s="25"/>
      <c r="DD37" s="25"/>
      <c r="DE37" s="25"/>
      <c r="DF37" s="25"/>
      <c r="DG37" s="25"/>
      <c r="DH37" s="25"/>
      <c r="DI37" s="25"/>
      <c r="DJ37" s="25"/>
      <c r="DK37" s="25"/>
      <c r="DL37" s="25"/>
      <c r="DM37" s="25"/>
      <c r="DN37" s="25"/>
      <c r="DO37" s="25"/>
      <c r="DP37" s="25"/>
      <c r="DQ37" s="25"/>
      <c r="DR37" s="25"/>
      <c r="DS37" s="25"/>
      <c r="DT37" s="25"/>
      <c r="DU37" s="25"/>
      <c r="DV37" s="25"/>
      <c r="DW37" s="25"/>
      <c r="DX37" s="25"/>
      <c r="DY37" s="25"/>
      <c r="DZ37" s="25"/>
      <c r="EA37" s="25"/>
      <c r="EB37" s="25"/>
      <c r="EC37" s="25"/>
      <c r="ED37" s="25"/>
      <c r="EE37" s="25"/>
      <c r="EF37" s="25"/>
      <c r="EG37" s="25"/>
      <c r="EH37" s="25"/>
      <c r="EI37" s="25"/>
      <c r="EJ37" s="25"/>
      <c r="EK37" s="25"/>
      <c r="EL37" s="25"/>
      <c r="EM37" s="25"/>
      <c r="EN37" s="25"/>
      <c r="EO37" s="25"/>
      <c r="EP37" s="25"/>
      <c r="EQ37" s="25"/>
      <c r="ER37" s="25"/>
      <c r="ES37" s="25"/>
      <c r="ET37" s="25"/>
    </row>
    <row r="38" spans="1:150" x14ac:dyDescent="0.25">
      <c r="A38" s="4">
        <v>2006</v>
      </c>
      <c r="B38" s="22">
        <f>B9/'Rate Class Energy Model'!J7</f>
        <v>2.907338493948509E-3</v>
      </c>
      <c r="C38" s="22">
        <f>C9/'Rate Class Energy Model'!K7</f>
        <v>1.8638402416147656E-3</v>
      </c>
      <c r="D38" s="22">
        <f>D9/'Rate Class Energy Model'!L7</f>
        <v>2.8038584093231732E-3</v>
      </c>
      <c r="E38" s="22">
        <f>E9/'Rate Class Energy Model'!M7</f>
        <v>2.7591402316395359E-3</v>
      </c>
      <c r="F38" s="21"/>
      <c r="G38" s="21"/>
      <c r="H38" s="21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  <c r="CG38" s="25"/>
      <c r="CH38" s="25"/>
      <c r="CI38" s="25"/>
      <c r="CJ38" s="25"/>
      <c r="CK38" s="25"/>
      <c r="CL38" s="25"/>
      <c r="CM38" s="25"/>
      <c r="CN38" s="25"/>
      <c r="CO38" s="25"/>
      <c r="CP38" s="25"/>
      <c r="CQ38" s="25"/>
      <c r="CR38" s="25"/>
      <c r="CS38" s="25"/>
      <c r="CT38" s="25"/>
      <c r="CU38" s="25"/>
      <c r="CV38" s="25"/>
      <c r="CW38" s="25"/>
      <c r="CX38" s="25"/>
      <c r="CY38" s="25"/>
      <c r="CZ38" s="25"/>
      <c r="DA38" s="25"/>
      <c r="DB38" s="25"/>
      <c r="DC38" s="25"/>
      <c r="DD38" s="25"/>
      <c r="DE38" s="25"/>
      <c r="DF38" s="2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</row>
    <row r="39" spans="1:150" s="43" customFormat="1" x14ac:dyDescent="0.25">
      <c r="A39" s="4">
        <v>2007</v>
      </c>
      <c r="B39" s="22">
        <f>B10/'Rate Class Energy Model'!J8</f>
        <v>2.8332690196822634E-3</v>
      </c>
      <c r="C39" s="22">
        <f>C10/'Rate Class Energy Model'!K8</f>
        <v>1.9144018147966891E-3</v>
      </c>
      <c r="D39" s="22">
        <f>D10/'Rate Class Energy Model'!L8</f>
        <v>2.7943259687032078E-3</v>
      </c>
      <c r="E39" s="22">
        <f>E10/'Rate Class Energy Model'!M8</f>
        <v>2.7141457534159059E-3</v>
      </c>
      <c r="F39" s="21"/>
      <c r="G39" s="21"/>
      <c r="H39" s="21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  <c r="BX39" s="25"/>
      <c r="BY39" s="25"/>
      <c r="BZ39" s="25"/>
      <c r="CA39" s="25"/>
      <c r="CB39" s="25"/>
      <c r="CC39" s="25"/>
      <c r="CD39" s="25"/>
      <c r="CE39" s="25"/>
      <c r="CF39" s="25"/>
      <c r="CG39" s="25"/>
      <c r="CH39" s="25"/>
      <c r="CI39" s="25"/>
      <c r="CJ39" s="25"/>
      <c r="CK39" s="25"/>
      <c r="CL39" s="25"/>
      <c r="CM39" s="25"/>
      <c r="CN39" s="25"/>
      <c r="CO39" s="25"/>
      <c r="CP39" s="25"/>
      <c r="CQ39" s="25"/>
      <c r="CR39" s="25"/>
      <c r="CS39" s="25"/>
      <c r="CT39" s="25"/>
      <c r="CU39" s="25"/>
      <c r="CV39" s="25"/>
      <c r="CW39" s="25"/>
      <c r="CX39" s="25"/>
      <c r="CY39" s="25"/>
      <c r="CZ39" s="25"/>
      <c r="DA39" s="25"/>
      <c r="DB39" s="25"/>
      <c r="DC39" s="25"/>
      <c r="DD39" s="25"/>
      <c r="DE39" s="25"/>
      <c r="DF39" s="2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</row>
    <row r="40" spans="1:150" x14ac:dyDescent="0.25">
      <c r="A40" s="4">
        <v>2008</v>
      </c>
      <c r="B40" s="22">
        <f>B11/'Rate Class Energy Model'!J9</f>
        <v>2.7943826820251453E-3</v>
      </c>
      <c r="C40" s="22">
        <f>C11/'Rate Class Energy Model'!K9</f>
        <v>1.9965772726197144E-3</v>
      </c>
      <c r="D40" s="22">
        <f>D11/'Rate Class Energy Model'!L9</f>
        <v>2.7859105829666025E-3</v>
      </c>
      <c r="E40" s="22">
        <f>E11/'Rate Class Energy Model'!M9</f>
        <v>2.6963539605568167E-3</v>
      </c>
      <c r="F40" s="21"/>
      <c r="G40" s="21"/>
      <c r="H40" s="21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25"/>
      <c r="BP40" s="25"/>
      <c r="BQ40" s="25"/>
      <c r="BR40" s="25"/>
      <c r="BS40" s="25"/>
      <c r="BT40" s="25"/>
      <c r="BU40" s="25"/>
      <c r="BV40" s="25"/>
      <c r="BW40" s="25"/>
      <c r="BX40" s="25"/>
      <c r="BY40" s="25"/>
      <c r="BZ40" s="25"/>
      <c r="CA40" s="25"/>
      <c r="CB40" s="25"/>
      <c r="CC40" s="25"/>
      <c r="CD40" s="25"/>
      <c r="CE40" s="25"/>
      <c r="CF40" s="25"/>
      <c r="CG40" s="25"/>
      <c r="CH40" s="25"/>
      <c r="CI40" s="25"/>
      <c r="CJ40" s="25"/>
      <c r="CK40" s="25"/>
      <c r="CL40" s="25"/>
      <c r="CM40" s="25"/>
      <c r="CN40" s="25"/>
      <c r="CO40" s="25"/>
      <c r="CP40" s="25"/>
      <c r="CQ40" s="25"/>
      <c r="CR40" s="25"/>
      <c r="CS40" s="25"/>
      <c r="CT40" s="25"/>
      <c r="CU40" s="25"/>
      <c r="CV40" s="25"/>
      <c r="CW40" s="25"/>
      <c r="CX40" s="25"/>
      <c r="CY40" s="25"/>
      <c r="CZ40" s="25"/>
      <c r="DA40" s="25"/>
      <c r="DB40" s="25"/>
      <c r="DC40" s="25"/>
      <c r="DD40" s="25"/>
      <c r="DE40" s="25"/>
      <c r="DF40" s="25"/>
      <c r="DG40" s="25"/>
      <c r="DH40" s="25"/>
      <c r="DI40" s="25"/>
      <c r="DJ40" s="25"/>
      <c r="DK40" s="25"/>
      <c r="DL40" s="25"/>
      <c r="DM40" s="25"/>
      <c r="DN40" s="25"/>
      <c r="DO40" s="25"/>
      <c r="DP40" s="25"/>
      <c r="DQ40" s="25"/>
      <c r="DR40" s="25"/>
      <c r="DS40" s="25"/>
      <c r="DT40" s="25"/>
      <c r="DU40" s="25"/>
      <c r="DV40" s="25"/>
      <c r="DW40" s="25"/>
      <c r="DX40" s="25"/>
      <c r="DY40" s="25"/>
      <c r="DZ40" s="25"/>
      <c r="EA40" s="25"/>
      <c r="EB40" s="25"/>
      <c r="EC40" s="25"/>
      <c r="ED40" s="25"/>
      <c r="EE40" s="25"/>
      <c r="EF40" s="25"/>
      <c r="EG40" s="25"/>
      <c r="EH40" s="25"/>
      <c r="EI40" s="25"/>
      <c r="EJ40" s="25"/>
      <c r="EK40" s="25"/>
      <c r="EL40" s="25"/>
      <c r="EM40" s="25"/>
      <c r="EN40" s="25"/>
      <c r="EO40" s="25"/>
      <c r="EP40" s="25"/>
      <c r="EQ40" s="25"/>
      <c r="ER40" s="25"/>
      <c r="ES40" s="25"/>
      <c r="ET40" s="25"/>
    </row>
    <row r="41" spans="1:150" x14ac:dyDescent="0.25">
      <c r="A41" s="4">
        <v>2009</v>
      </c>
      <c r="B41" s="22">
        <f>B12/'Rate Class Energy Model'!J10</f>
        <v>2.7841363864539673E-3</v>
      </c>
      <c r="C41" s="22">
        <f>C12/'Rate Class Energy Model'!K10</f>
        <v>2.1054862927687304E-3</v>
      </c>
      <c r="D41" s="22">
        <f>D12/'Rate Class Energy Model'!L10</f>
        <v>2.7943646888488462E-3</v>
      </c>
      <c r="E41" s="22">
        <f>E12/'Rate Class Energy Model'!M10</f>
        <v>2.6991866200064647E-3</v>
      </c>
      <c r="F41" s="21"/>
      <c r="G41" s="21"/>
      <c r="H41" s="21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  <c r="BM41" s="25"/>
      <c r="BN41" s="25"/>
      <c r="BO41" s="25"/>
      <c r="BP41" s="25"/>
      <c r="BQ41" s="25"/>
      <c r="BR41" s="25"/>
      <c r="BS41" s="25"/>
      <c r="BT41" s="25"/>
      <c r="BU41" s="25"/>
      <c r="BV41" s="25"/>
      <c r="BW41" s="25"/>
      <c r="BX41" s="25"/>
      <c r="BY41" s="25"/>
      <c r="BZ41" s="25"/>
      <c r="CA41" s="25"/>
      <c r="CB41" s="25"/>
      <c r="CC41" s="25"/>
      <c r="CD41" s="25"/>
      <c r="CE41" s="25"/>
      <c r="CF41" s="25"/>
      <c r="CG41" s="25"/>
      <c r="CH41" s="25"/>
      <c r="CI41" s="25"/>
      <c r="CJ41" s="25"/>
      <c r="CK41" s="25"/>
      <c r="CL41" s="25"/>
      <c r="CM41" s="25"/>
      <c r="CN41" s="25"/>
      <c r="CO41" s="25"/>
      <c r="CP41" s="25"/>
      <c r="CQ41" s="25"/>
      <c r="CR41" s="25"/>
      <c r="CS41" s="25"/>
      <c r="CT41" s="25"/>
      <c r="CU41" s="25"/>
      <c r="CV41" s="25"/>
      <c r="CW41" s="25"/>
      <c r="CX41" s="25"/>
      <c r="CY41" s="25"/>
      <c r="CZ41" s="25"/>
      <c r="DA41" s="25"/>
      <c r="DB41" s="25"/>
      <c r="DC41" s="25"/>
      <c r="DD41" s="25"/>
      <c r="DE41" s="25"/>
      <c r="DF41" s="25"/>
      <c r="DG41" s="25"/>
      <c r="DH41" s="25"/>
      <c r="DI41" s="25"/>
      <c r="DJ41" s="25"/>
      <c r="DK41" s="25"/>
      <c r="DL41" s="25"/>
      <c r="DM41" s="25"/>
      <c r="DN41" s="25"/>
      <c r="DO41" s="25"/>
      <c r="DP41" s="25"/>
      <c r="DQ41" s="25"/>
      <c r="DR41" s="25"/>
      <c r="DS41" s="25"/>
      <c r="DT41" s="25"/>
      <c r="DU41" s="25"/>
      <c r="DV41" s="25"/>
      <c r="DW41" s="25"/>
      <c r="DX41" s="25"/>
      <c r="DY41" s="25"/>
      <c r="DZ41" s="25"/>
      <c r="EA41" s="25"/>
      <c r="EB41" s="25"/>
      <c r="EC41" s="25"/>
      <c r="ED41" s="25"/>
      <c r="EE41" s="25"/>
      <c r="EF41" s="25"/>
      <c r="EG41" s="25"/>
      <c r="EH41" s="25"/>
      <c r="EI41" s="25"/>
      <c r="EJ41" s="25"/>
      <c r="EK41" s="25"/>
      <c r="EL41" s="25"/>
      <c r="EM41" s="25"/>
      <c r="EN41" s="25"/>
      <c r="EO41" s="25"/>
      <c r="EP41" s="25"/>
      <c r="EQ41" s="25"/>
      <c r="ER41" s="25"/>
      <c r="ES41" s="25"/>
      <c r="ET41" s="25"/>
    </row>
    <row r="42" spans="1:150" x14ac:dyDescent="0.25">
      <c r="A42" s="4">
        <v>2010</v>
      </c>
      <c r="B42" s="22">
        <f>B13/'Rate Class Energy Model'!J11</f>
        <v>2.5569857303286057E-3</v>
      </c>
      <c r="C42" s="22">
        <f>C13/'Rate Class Energy Model'!K11</f>
        <v>1.9025873182317073E-3</v>
      </c>
      <c r="D42" s="22">
        <f>D13/'Rate Class Energy Model'!L11</f>
        <v>2.7930893351157384E-3</v>
      </c>
      <c r="E42" s="22">
        <f>E13/'Rate Class Energy Model'!M11</f>
        <v>2.7063918380993779E-3</v>
      </c>
      <c r="F42" s="21"/>
      <c r="G42" s="21"/>
      <c r="H42" s="21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25"/>
      <c r="BO42" s="25"/>
      <c r="BP42" s="25"/>
      <c r="BQ42" s="25"/>
      <c r="BR42" s="25"/>
      <c r="BS42" s="25"/>
      <c r="BT42" s="25"/>
      <c r="BU42" s="25"/>
      <c r="BV42" s="25"/>
      <c r="BW42" s="25"/>
      <c r="BX42" s="25"/>
      <c r="BY42" s="25"/>
      <c r="BZ42" s="25"/>
      <c r="CA42" s="25"/>
      <c r="CB42" s="25"/>
      <c r="CC42" s="25"/>
      <c r="CD42" s="25"/>
      <c r="CE42" s="25"/>
      <c r="CF42" s="25"/>
      <c r="CG42" s="25"/>
      <c r="CH42" s="25"/>
      <c r="CI42" s="25"/>
      <c r="CJ42" s="25"/>
      <c r="CK42" s="25"/>
      <c r="CL42" s="25"/>
      <c r="CM42" s="25"/>
      <c r="CN42" s="25"/>
      <c r="CO42" s="25"/>
      <c r="CP42" s="25"/>
      <c r="CQ42" s="25"/>
      <c r="CR42" s="25"/>
      <c r="CS42" s="25"/>
      <c r="CT42" s="25"/>
      <c r="CU42" s="25"/>
      <c r="CV42" s="25"/>
      <c r="CW42" s="25"/>
      <c r="CX42" s="25"/>
      <c r="CY42" s="25"/>
      <c r="CZ42" s="25"/>
      <c r="DA42" s="25"/>
      <c r="DB42" s="25"/>
      <c r="DC42" s="25"/>
      <c r="DD42" s="25"/>
      <c r="DE42" s="25"/>
      <c r="DF42" s="25"/>
      <c r="DG42" s="25"/>
      <c r="DH42" s="25"/>
      <c r="DI42" s="25"/>
      <c r="DJ42" s="25"/>
      <c r="DK42" s="25"/>
      <c r="DL42" s="25"/>
      <c r="DM42" s="25"/>
      <c r="DN42" s="25"/>
      <c r="DO42" s="25"/>
      <c r="DP42" s="25"/>
      <c r="DQ42" s="25"/>
      <c r="DR42" s="25"/>
      <c r="DS42" s="25"/>
      <c r="DT42" s="25"/>
      <c r="DU42" s="25"/>
      <c r="DV42" s="25"/>
      <c r="DW42" s="25"/>
      <c r="DX42" s="25"/>
      <c r="DY42" s="25"/>
      <c r="DZ42" s="25"/>
      <c r="EA42" s="25"/>
      <c r="EB42" s="25"/>
      <c r="EC42" s="25"/>
      <c r="ED42" s="25"/>
      <c r="EE42" s="25"/>
      <c r="EF42" s="25"/>
      <c r="EG42" s="25"/>
      <c r="EH42" s="25"/>
      <c r="EI42" s="25"/>
      <c r="EJ42" s="25"/>
      <c r="EK42" s="25"/>
      <c r="EL42" s="25"/>
      <c r="EM42" s="25"/>
      <c r="EN42" s="25"/>
      <c r="EO42" s="25"/>
      <c r="EP42" s="25"/>
      <c r="EQ42" s="25"/>
      <c r="ER42" s="25"/>
      <c r="ES42" s="25"/>
      <c r="ET42" s="25"/>
    </row>
    <row r="43" spans="1:150" x14ac:dyDescent="0.25">
      <c r="A43" s="4">
        <v>2011</v>
      </c>
      <c r="B43" s="22">
        <f>B14/'Rate Class Energy Model'!J12</f>
        <v>2.5163054682211241E-3</v>
      </c>
      <c r="C43" s="22">
        <f>C14/'Rate Class Energy Model'!K12</f>
        <v>1.9002246499930132E-3</v>
      </c>
      <c r="D43" s="22">
        <f>D14/'Rate Class Energy Model'!L12</f>
        <v>2.821911309656568E-3</v>
      </c>
      <c r="E43" s="22">
        <f>E14/'Rate Class Energy Model'!M12</f>
        <v>2.6713843663505629E-3</v>
      </c>
      <c r="F43" s="21"/>
      <c r="G43" s="21"/>
      <c r="H43" s="21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  <c r="BZ43" s="25"/>
      <c r="CA43" s="25"/>
      <c r="CB43" s="25"/>
      <c r="CC43" s="25"/>
      <c r="CD43" s="25"/>
      <c r="CE43" s="25"/>
      <c r="CF43" s="25"/>
      <c r="CG43" s="25"/>
      <c r="CH43" s="25"/>
      <c r="CI43" s="25"/>
      <c r="CJ43" s="25"/>
      <c r="CK43" s="25"/>
      <c r="CL43" s="25"/>
      <c r="CM43" s="25"/>
      <c r="CN43" s="25"/>
      <c r="CO43" s="25"/>
      <c r="CP43" s="25"/>
      <c r="CQ43" s="25"/>
      <c r="CR43" s="25"/>
      <c r="CS43" s="25"/>
      <c r="CT43" s="25"/>
      <c r="CU43" s="25"/>
      <c r="CV43" s="25"/>
      <c r="CW43" s="25"/>
      <c r="CX43" s="25"/>
      <c r="CY43" s="25"/>
      <c r="CZ43" s="25"/>
      <c r="DA43" s="25"/>
      <c r="DB43" s="25"/>
      <c r="DC43" s="25"/>
      <c r="DD43" s="25"/>
      <c r="DE43" s="25"/>
      <c r="DF43" s="25"/>
      <c r="DG43" s="25"/>
      <c r="DH43" s="25"/>
      <c r="DI43" s="25"/>
      <c r="DJ43" s="25"/>
      <c r="DK43" s="25"/>
      <c r="DL43" s="25"/>
      <c r="DM43" s="25"/>
      <c r="DN43" s="25"/>
      <c r="DO43" s="25"/>
      <c r="DP43" s="25"/>
      <c r="DQ43" s="25"/>
      <c r="DR43" s="25"/>
      <c r="DS43" s="25"/>
      <c r="DT43" s="25"/>
      <c r="DU43" s="25"/>
      <c r="DV43" s="25"/>
      <c r="DW43" s="25"/>
      <c r="DX43" s="25"/>
      <c r="DY43" s="25"/>
      <c r="DZ43" s="25"/>
      <c r="EA43" s="25"/>
      <c r="EB43" s="25"/>
      <c r="EC43" s="25"/>
      <c r="ED43" s="25"/>
      <c r="EE43" s="25"/>
      <c r="EF43" s="25"/>
      <c r="EG43" s="25"/>
      <c r="EH43" s="25"/>
      <c r="EI43" s="25"/>
      <c r="EJ43" s="25"/>
      <c r="EK43" s="25"/>
      <c r="EL43" s="25"/>
      <c r="EM43" s="25"/>
      <c r="EN43" s="25"/>
      <c r="EO43" s="25"/>
      <c r="EP43" s="25"/>
      <c r="EQ43" s="25"/>
      <c r="ER43" s="25"/>
      <c r="ES43" s="25"/>
      <c r="ET43" s="25"/>
    </row>
    <row r="44" spans="1:150" x14ac:dyDescent="0.25">
      <c r="A44" s="4">
        <v>2012</v>
      </c>
      <c r="B44" s="22">
        <f>B15/'Rate Class Energy Model'!J13</f>
        <v>2.4184037792997757E-3</v>
      </c>
      <c r="C44" s="22">
        <f>C15/'Rate Class Energy Model'!K13</f>
        <v>1.9169845034718248E-3</v>
      </c>
      <c r="D44" s="22">
        <f>D15/'Rate Class Energy Model'!L13</f>
        <v>2.7911592603684565E-3</v>
      </c>
      <c r="E44" s="22">
        <f>E15/'Rate Class Energy Model'!M13</f>
        <v>3.2823554084001525E-3</v>
      </c>
      <c r="F44" s="21"/>
      <c r="G44" s="21"/>
      <c r="H44" s="21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  <c r="BZ44" s="25"/>
      <c r="CA44" s="25"/>
      <c r="CB44" s="25"/>
      <c r="CC44" s="25"/>
      <c r="CD44" s="25"/>
      <c r="CE44" s="25"/>
      <c r="CF44" s="25"/>
      <c r="CG44" s="25"/>
      <c r="CH44" s="25"/>
      <c r="CI44" s="25"/>
      <c r="CJ44" s="25"/>
      <c r="CK44" s="25"/>
      <c r="CL44" s="25"/>
      <c r="CM44" s="25"/>
      <c r="CN44" s="25"/>
      <c r="CO44" s="25"/>
      <c r="CP44" s="25"/>
      <c r="CQ44" s="25"/>
      <c r="CR44" s="25"/>
      <c r="CS44" s="25"/>
      <c r="CT44" s="25"/>
      <c r="CU44" s="25"/>
      <c r="CV44" s="25"/>
      <c r="CW44" s="25"/>
      <c r="CX44" s="25"/>
      <c r="CY44" s="25"/>
      <c r="CZ44" s="25"/>
      <c r="DA44" s="25"/>
      <c r="DB44" s="25"/>
      <c r="DC44" s="25"/>
      <c r="DD44" s="25"/>
      <c r="DE44" s="25"/>
      <c r="DF44" s="25"/>
      <c r="DG44" s="25"/>
      <c r="DH44" s="25"/>
      <c r="DI44" s="25"/>
      <c r="DJ44" s="25"/>
      <c r="DK44" s="25"/>
      <c r="DL44" s="25"/>
      <c r="DM44" s="25"/>
      <c r="DN44" s="25"/>
      <c r="DO44" s="25"/>
      <c r="DP44" s="25"/>
      <c r="DQ44" s="25"/>
      <c r="DR44" s="25"/>
      <c r="DS44" s="25"/>
      <c r="DT44" s="25"/>
      <c r="DU44" s="25"/>
      <c r="DV44" s="25"/>
      <c r="DW44" s="25"/>
      <c r="DX44" s="25"/>
      <c r="DY44" s="25"/>
      <c r="DZ44" s="25"/>
      <c r="EA44" s="25"/>
      <c r="EB44" s="25"/>
      <c r="EC44" s="25"/>
      <c r="ED44" s="25"/>
      <c r="EE44" s="25"/>
      <c r="EF44" s="25"/>
      <c r="EG44" s="25"/>
      <c r="EH44" s="25"/>
      <c r="EI44" s="25"/>
      <c r="EJ44" s="25"/>
      <c r="EK44" s="25"/>
      <c r="EL44" s="25"/>
      <c r="EM44" s="25"/>
      <c r="EN44" s="25"/>
      <c r="EO44" s="25"/>
      <c r="EP44" s="25"/>
      <c r="EQ44" s="25"/>
      <c r="ER44" s="25"/>
      <c r="ES44" s="25"/>
      <c r="ET44" s="25"/>
    </row>
    <row r="45" spans="1:150" x14ac:dyDescent="0.25">
      <c r="A45" s="4">
        <v>2013</v>
      </c>
      <c r="B45" s="22">
        <f>B16/'Rate Class Energy Model'!J14</f>
        <v>2.471268703813249E-3</v>
      </c>
      <c r="C45" s="22">
        <f>C16/'Rate Class Energy Model'!K14</f>
        <v>1.9412511676483778E-3</v>
      </c>
      <c r="D45" s="22">
        <f>D16/'Rate Class Energy Model'!L14</f>
        <v>2.7932924851604367E-3</v>
      </c>
      <c r="E45" s="22">
        <f>E16/'Rate Class Energy Model'!M14</f>
        <v>2.7572210621082138E-3</v>
      </c>
      <c r="F45" s="21"/>
      <c r="G45" s="21"/>
      <c r="H45" s="21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  <c r="BZ45" s="25"/>
      <c r="CA45" s="25"/>
      <c r="CB45" s="25"/>
      <c r="CC45" s="25"/>
      <c r="CD45" s="25"/>
      <c r="CE45" s="25"/>
      <c r="CF45" s="25"/>
      <c r="CG45" s="25"/>
      <c r="CH45" s="25"/>
      <c r="CI45" s="25"/>
      <c r="CJ45" s="25"/>
      <c r="CK45" s="25"/>
      <c r="CL45" s="25"/>
      <c r="CM45" s="25"/>
      <c r="CN45" s="25"/>
      <c r="CO45" s="25"/>
      <c r="CP45" s="25"/>
      <c r="CQ45" s="25"/>
      <c r="CR45" s="25"/>
      <c r="CS45" s="25"/>
      <c r="CT45" s="25"/>
      <c r="CU45" s="25"/>
      <c r="CV45" s="25"/>
      <c r="CW45" s="25"/>
      <c r="CX45" s="25"/>
      <c r="CY45" s="25"/>
      <c r="CZ45" s="25"/>
      <c r="DA45" s="25"/>
      <c r="DB45" s="25"/>
      <c r="DC45" s="25"/>
      <c r="DD45" s="25"/>
      <c r="DE45" s="25"/>
      <c r="DF45" s="25"/>
      <c r="DG45" s="25"/>
      <c r="DH45" s="25"/>
      <c r="DI45" s="25"/>
      <c r="DJ45" s="25"/>
      <c r="DK45" s="25"/>
      <c r="DL45" s="25"/>
      <c r="DM45" s="25"/>
      <c r="DN45" s="25"/>
      <c r="DO45" s="25"/>
      <c r="DP45" s="25"/>
      <c r="DQ45" s="25"/>
      <c r="DR45" s="25"/>
      <c r="DS45" s="25"/>
      <c r="DT45" s="25"/>
      <c r="DU45" s="25"/>
      <c r="DV45" s="25"/>
      <c r="DW45" s="25"/>
      <c r="DX45" s="25"/>
      <c r="DY45" s="25"/>
      <c r="DZ45" s="25"/>
      <c r="EA45" s="25"/>
      <c r="EB45" s="25"/>
      <c r="EC45" s="25"/>
      <c r="ED45" s="25"/>
      <c r="EE45" s="25"/>
      <c r="EF45" s="25"/>
      <c r="EG45" s="25"/>
      <c r="EH45" s="25"/>
      <c r="EI45" s="25"/>
      <c r="EJ45" s="25"/>
      <c r="EK45" s="25"/>
      <c r="EL45" s="25"/>
      <c r="EM45" s="25"/>
      <c r="EN45" s="25"/>
      <c r="EO45" s="25"/>
      <c r="EP45" s="25"/>
      <c r="EQ45" s="25"/>
      <c r="ER45" s="25"/>
      <c r="ES45" s="25"/>
      <c r="ET45" s="25"/>
    </row>
    <row r="46" spans="1:150" x14ac:dyDescent="0.25">
      <c r="A46" s="4">
        <v>2014</v>
      </c>
      <c r="B46" s="22">
        <f>B17/'Rate Class Energy Model'!J15</f>
        <v>2.4552909728602079E-3</v>
      </c>
      <c r="C46" s="22">
        <f>C17/'Rate Class Energy Model'!K15</f>
        <v>2.0186343312287754E-3</v>
      </c>
      <c r="D46" s="22">
        <f>D17/'Rate Class Energy Model'!L15</f>
        <v>2.8013498243573023E-3</v>
      </c>
      <c r="E46" s="22">
        <f>E17/'Rate Class Energy Model'!M15</f>
        <v>2.7797888189757276E-3</v>
      </c>
      <c r="F46" s="21"/>
      <c r="G46" s="21"/>
      <c r="H46" s="21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25"/>
      <c r="BZ46" s="25"/>
      <c r="CA46" s="25"/>
      <c r="CB46" s="25"/>
      <c r="CC46" s="25"/>
      <c r="CD46" s="25"/>
      <c r="CE46" s="25"/>
      <c r="CF46" s="25"/>
      <c r="CG46" s="25"/>
      <c r="CH46" s="25"/>
      <c r="CI46" s="25"/>
      <c r="CJ46" s="25"/>
      <c r="CK46" s="25"/>
      <c r="CL46" s="25"/>
      <c r="CM46" s="25"/>
      <c r="CN46" s="25"/>
      <c r="CO46" s="25"/>
      <c r="CP46" s="25"/>
      <c r="CQ46" s="25"/>
      <c r="CR46" s="25"/>
      <c r="CS46" s="25"/>
      <c r="CT46" s="25"/>
      <c r="CU46" s="25"/>
      <c r="CV46" s="25"/>
      <c r="CW46" s="25"/>
      <c r="CX46" s="25"/>
      <c r="CY46" s="25"/>
      <c r="CZ46" s="25"/>
      <c r="DA46" s="25"/>
      <c r="DB46" s="25"/>
      <c r="DC46" s="25"/>
      <c r="DD46" s="25"/>
      <c r="DE46" s="25"/>
      <c r="DF46" s="25"/>
      <c r="DG46" s="25"/>
      <c r="DH46" s="25"/>
      <c r="DI46" s="25"/>
      <c r="DJ46" s="25"/>
      <c r="DK46" s="25"/>
      <c r="DL46" s="25"/>
      <c r="DM46" s="25"/>
      <c r="DN46" s="25"/>
      <c r="DO46" s="25"/>
      <c r="DP46" s="25"/>
      <c r="DQ46" s="25"/>
      <c r="DR46" s="25"/>
      <c r="DS46" s="25"/>
      <c r="DT46" s="25"/>
      <c r="DU46" s="25"/>
      <c r="DV46" s="25"/>
      <c r="DW46" s="25"/>
      <c r="DX46" s="25"/>
      <c r="DY46" s="25"/>
      <c r="DZ46" s="25"/>
      <c r="EA46" s="25"/>
      <c r="EB46" s="25"/>
      <c r="EC46" s="25"/>
      <c r="ED46" s="25"/>
      <c r="EE46" s="25"/>
      <c r="EF46" s="25"/>
      <c r="EG46" s="25"/>
      <c r="EH46" s="25"/>
      <c r="EI46" s="25"/>
      <c r="EJ46" s="25"/>
      <c r="EK46" s="25"/>
      <c r="EL46" s="25"/>
      <c r="EM46" s="25"/>
      <c r="EN46" s="25"/>
      <c r="EO46" s="25"/>
      <c r="EP46" s="25"/>
      <c r="EQ46" s="25"/>
      <c r="ER46" s="25"/>
      <c r="ES46" s="25"/>
      <c r="ET46" s="25"/>
    </row>
    <row r="47" spans="1:150" x14ac:dyDescent="0.25">
      <c r="A47" s="4">
        <v>2015</v>
      </c>
      <c r="B47" s="22">
        <f>B18/'Rate Class Energy Model'!J16</f>
        <v>2.4875160931048363E-3</v>
      </c>
      <c r="C47" s="22">
        <f>C18/'Rate Class Energy Model'!K16</f>
        <v>2.224863300917554E-3</v>
      </c>
      <c r="D47" s="22">
        <f>D18/'Rate Class Energy Model'!L16</f>
        <v>2.7943220420317593E-3</v>
      </c>
      <c r="E47" s="22">
        <f>E18/'Rate Class Energy Model'!M16</f>
        <v>2.764897606325751E-3</v>
      </c>
      <c r="F47" s="21"/>
      <c r="G47" s="21"/>
      <c r="H47" s="21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5"/>
      <c r="BV47" s="25"/>
      <c r="BW47" s="25"/>
      <c r="BX47" s="25"/>
      <c r="BY47" s="25"/>
      <c r="BZ47" s="25"/>
      <c r="CA47" s="25"/>
      <c r="CB47" s="25"/>
      <c r="CC47" s="25"/>
      <c r="CD47" s="25"/>
      <c r="CE47" s="25"/>
      <c r="CF47" s="25"/>
      <c r="CG47" s="25"/>
      <c r="CH47" s="25"/>
      <c r="CI47" s="25"/>
      <c r="CJ47" s="25"/>
      <c r="CK47" s="25"/>
      <c r="CL47" s="25"/>
      <c r="CM47" s="25"/>
      <c r="CN47" s="25"/>
      <c r="CO47" s="25"/>
      <c r="CP47" s="25"/>
      <c r="CQ47" s="25"/>
      <c r="CR47" s="25"/>
      <c r="CS47" s="25"/>
      <c r="CT47" s="25"/>
      <c r="CU47" s="25"/>
      <c r="CV47" s="25"/>
      <c r="CW47" s="25"/>
      <c r="CX47" s="25"/>
      <c r="CY47" s="25"/>
      <c r="CZ47" s="25"/>
      <c r="DA47" s="25"/>
      <c r="DB47" s="25"/>
      <c r="DC47" s="25"/>
      <c r="DD47" s="25"/>
      <c r="DE47" s="25"/>
      <c r="DF47" s="25"/>
      <c r="DG47" s="25"/>
      <c r="DH47" s="25"/>
      <c r="DI47" s="25"/>
      <c r="DJ47" s="25"/>
      <c r="DK47" s="25"/>
      <c r="DL47" s="25"/>
      <c r="DM47" s="25"/>
      <c r="DN47" s="25"/>
      <c r="DO47" s="25"/>
      <c r="DP47" s="25"/>
      <c r="DQ47" s="25"/>
      <c r="DR47" s="25"/>
      <c r="DS47" s="25"/>
      <c r="DT47" s="25"/>
      <c r="DU47" s="25"/>
      <c r="DV47" s="25"/>
      <c r="DW47" s="25"/>
      <c r="DX47" s="25"/>
      <c r="DY47" s="25"/>
      <c r="DZ47" s="25"/>
      <c r="EA47" s="25"/>
      <c r="EB47" s="25"/>
      <c r="EC47" s="25"/>
      <c r="ED47" s="25"/>
      <c r="EE47" s="25"/>
      <c r="EF47" s="25"/>
      <c r="EG47" s="25"/>
      <c r="EH47" s="25"/>
      <c r="EI47" s="25"/>
      <c r="EJ47" s="25"/>
      <c r="EK47" s="25"/>
      <c r="EL47" s="25"/>
      <c r="EM47" s="25"/>
      <c r="EN47" s="25"/>
      <c r="EO47" s="25"/>
      <c r="EP47" s="25"/>
      <c r="EQ47" s="25"/>
      <c r="ER47" s="25"/>
      <c r="ES47" s="25"/>
      <c r="ET47" s="25"/>
    </row>
    <row r="48" spans="1:150" x14ac:dyDescent="0.25">
      <c r="A48" s="4">
        <v>2016</v>
      </c>
      <c r="B48" s="22">
        <f>B19/'Rate Class Energy Model'!J17</f>
        <v>2.6352006581074842E-3</v>
      </c>
      <c r="C48" s="22">
        <f>C19/'Rate Class Energy Model'!K17</f>
        <v>2.1253416870727682E-3</v>
      </c>
      <c r="D48" s="22">
        <f>D19/'Rate Class Energy Model'!L17</f>
        <v>2.7859366453953979E-3</v>
      </c>
      <c r="E48" s="22">
        <f>E19/'Rate Class Energy Model'!M17</f>
        <v>2.5984849934164462E-3</v>
      </c>
      <c r="F48" s="21"/>
      <c r="G48" s="21"/>
      <c r="H48" s="21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  <c r="BT48" s="25"/>
      <c r="BU48" s="25"/>
      <c r="BV48" s="25"/>
      <c r="BW48" s="25"/>
      <c r="BX48" s="25"/>
      <c r="BY48" s="25"/>
      <c r="BZ48" s="25"/>
      <c r="CA48" s="25"/>
      <c r="CB48" s="25"/>
      <c r="CC48" s="25"/>
      <c r="CD48" s="25"/>
      <c r="CE48" s="25"/>
      <c r="CF48" s="25"/>
      <c r="CG48" s="25"/>
      <c r="CH48" s="25"/>
      <c r="CI48" s="25"/>
      <c r="CJ48" s="25"/>
      <c r="CK48" s="25"/>
      <c r="CL48" s="25"/>
      <c r="CM48" s="25"/>
      <c r="CN48" s="25"/>
      <c r="CO48" s="25"/>
      <c r="CP48" s="25"/>
      <c r="CQ48" s="25"/>
      <c r="CR48" s="25"/>
      <c r="CS48" s="25"/>
      <c r="CT48" s="25"/>
      <c r="CU48" s="25"/>
      <c r="CV48" s="25"/>
      <c r="CW48" s="25"/>
      <c r="CX48" s="25"/>
      <c r="CY48" s="25"/>
      <c r="CZ48" s="25"/>
      <c r="DA48" s="25"/>
      <c r="DB48" s="25"/>
      <c r="DC48" s="25"/>
      <c r="DD48" s="25"/>
      <c r="DE48" s="25"/>
      <c r="DF48" s="25"/>
      <c r="DG48" s="25"/>
      <c r="DH48" s="25"/>
      <c r="DI48" s="25"/>
      <c r="DJ48" s="25"/>
      <c r="DK48" s="25"/>
      <c r="DL48" s="25"/>
      <c r="DM48" s="25"/>
      <c r="DN48" s="25"/>
      <c r="DO48" s="25"/>
      <c r="DP48" s="25"/>
      <c r="DQ48" s="25"/>
      <c r="DR48" s="25"/>
      <c r="DS48" s="25"/>
      <c r="DT48" s="25"/>
      <c r="DU48" s="25"/>
      <c r="DV48" s="25"/>
      <c r="DW48" s="25"/>
      <c r="DX48" s="25"/>
      <c r="DY48" s="25"/>
      <c r="DZ48" s="25"/>
      <c r="EA48" s="25"/>
      <c r="EB48" s="25"/>
      <c r="EC48" s="25"/>
      <c r="ED48" s="25"/>
      <c r="EE48" s="25"/>
      <c r="EF48" s="25"/>
      <c r="EG48" s="25"/>
      <c r="EH48" s="25"/>
      <c r="EI48" s="25"/>
      <c r="EJ48" s="25"/>
      <c r="EK48" s="25"/>
      <c r="EL48" s="25"/>
      <c r="EM48" s="25"/>
      <c r="EN48" s="25"/>
      <c r="EO48" s="25"/>
      <c r="EP48" s="25"/>
      <c r="EQ48" s="25"/>
      <c r="ER48" s="25"/>
      <c r="ES48" s="25"/>
      <c r="ET48" s="25"/>
    </row>
    <row r="49" spans="1:150" x14ac:dyDescent="0.25">
      <c r="A49" s="4">
        <v>2017</v>
      </c>
      <c r="B49" s="22">
        <f>B20/'Rate Class Energy Model'!J18</f>
        <v>2.6391378079695898E-3</v>
      </c>
      <c r="C49" s="22">
        <f>C20/'Rate Class Energy Model'!K18</f>
        <v>1.846921152494627E-3</v>
      </c>
      <c r="D49" s="22">
        <f>D20/'Rate Class Energy Model'!L18</f>
        <v>2.7943269527337853E-3</v>
      </c>
      <c r="E49" s="22">
        <f>E20/'Rate Class Energy Model'!M18</f>
        <v>2.5546197758281228E-3</v>
      </c>
      <c r="F49" s="21"/>
      <c r="G49" s="21"/>
      <c r="H49" s="21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/>
      <c r="BQ49" s="25"/>
      <c r="BR49" s="25"/>
      <c r="BS49" s="25"/>
      <c r="BT49" s="25"/>
      <c r="BU49" s="25"/>
      <c r="BV49" s="25"/>
      <c r="BW49" s="25"/>
      <c r="BX49" s="25"/>
      <c r="BY49" s="25"/>
      <c r="BZ49" s="25"/>
      <c r="CA49" s="25"/>
      <c r="CB49" s="25"/>
      <c r="CC49" s="25"/>
      <c r="CD49" s="25"/>
      <c r="CE49" s="25"/>
      <c r="CF49" s="25"/>
      <c r="CG49" s="25"/>
      <c r="CH49" s="25"/>
      <c r="CI49" s="25"/>
      <c r="CJ49" s="25"/>
      <c r="CK49" s="25"/>
      <c r="CL49" s="25"/>
      <c r="CM49" s="25"/>
      <c r="CN49" s="25"/>
      <c r="CO49" s="25"/>
      <c r="CP49" s="25"/>
      <c r="CQ49" s="25"/>
      <c r="CR49" s="25"/>
      <c r="CS49" s="25"/>
      <c r="CT49" s="25"/>
      <c r="CU49" s="25"/>
      <c r="CV49" s="25"/>
      <c r="CW49" s="25"/>
      <c r="CX49" s="25"/>
      <c r="CY49" s="25"/>
      <c r="CZ49" s="25"/>
      <c r="DA49" s="25"/>
      <c r="DB49" s="25"/>
      <c r="DC49" s="25"/>
      <c r="DD49" s="25"/>
      <c r="DE49" s="25"/>
      <c r="DF49" s="25"/>
      <c r="DG49" s="25"/>
      <c r="DH49" s="25"/>
      <c r="DI49" s="25"/>
      <c r="DJ49" s="25"/>
      <c r="DK49" s="25"/>
      <c r="DL49" s="25"/>
      <c r="DM49" s="25"/>
      <c r="DN49" s="25"/>
      <c r="DO49" s="25"/>
      <c r="DP49" s="25"/>
      <c r="DQ49" s="25"/>
      <c r="DR49" s="25"/>
      <c r="DS49" s="25"/>
      <c r="DT49" s="25"/>
      <c r="DU49" s="25"/>
      <c r="DV49" s="25"/>
      <c r="DW49" s="25"/>
      <c r="DX49" s="25"/>
      <c r="DY49" s="25"/>
      <c r="DZ49" s="25"/>
      <c r="EA49" s="25"/>
      <c r="EB49" s="25"/>
      <c r="EC49" s="25"/>
      <c r="ED49" s="25"/>
      <c r="EE49" s="25"/>
      <c r="EF49" s="25"/>
      <c r="EG49" s="25"/>
      <c r="EH49" s="25"/>
      <c r="EI49" s="25"/>
      <c r="EJ49" s="25"/>
      <c r="EK49" s="25"/>
      <c r="EL49" s="25"/>
      <c r="EM49" s="25"/>
      <c r="EN49" s="25"/>
      <c r="EO49" s="25"/>
      <c r="EP49" s="25"/>
      <c r="EQ49" s="25"/>
      <c r="ER49" s="25"/>
      <c r="ES49" s="25"/>
      <c r="ET49" s="25"/>
    </row>
    <row r="50" spans="1:150" x14ac:dyDescent="0.25">
      <c r="A50" s="4">
        <v>2018</v>
      </c>
      <c r="B50" s="22">
        <f>B21/'Rate Class Energy Model'!J19</f>
        <v>2.6112539893848163E-3</v>
      </c>
      <c r="C50" s="22">
        <f>C21/'Rate Class Energy Model'!K19</f>
        <v>1.8702405681255856E-3</v>
      </c>
      <c r="D50" s="22">
        <f>D21/'Rate Class Energy Model'!L19</f>
        <v>2.8008926463391191E-3</v>
      </c>
      <c r="E50" s="22">
        <f>E21/'Rate Class Energy Model'!M19</f>
        <v>2.5317687987963093E-3</v>
      </c>
      <c r="F50" s="21"/>
      <c r="G50" s="21"/>
      <c r="H50" s="21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5"/>
      <c r="BM50" s="25"/>
      <c r="BN50" s="25"/>
      <c r="BO50" s="25"/>
      <c r="BP50" s="25"/>
      <c r="BQ50" s="25"/>
      <c r="BR50" s="25"/>
      <c r="BS50" s="25"/>
      <c r="BT50" s="25"/>
      <c r="BU50" s="25"/>
      <c r="BV50" s="25"/>
      <c r="BW50" s="25"/>
      <c r="BX50" s="25"/>
      <c r="BY50" s="25"/>
      <c r="BZ50" s="25"/>
      <c r="CA50" s="25"/>
      <c r="CB50" s="25"/>
      <c r="CC50" s="25"/>
      <c r="CD50" s="25"/>
      <c r="CE50" s="25"/>
      <c r="CF50" s="25"/>
      <c r="CG50" s="25"/>
      <c r="CH50" s="25"/>
      <c r="CI50" s="25"/>
      <c r="CJ50" s="25"/>
      <c r="CK50" s="25"/>
      <c r="CL50" s="25"/>
      <c r="CM50" s="25"/>
      <c r="CN50" s="25"/>
      <c r="CO50" s="25"/>
      <c r="CP50" s="25"/>
      <c r="CQ50" s="25"/>
      <c r="CR50" s="25"/>
      <c r="CS50" s="25"/>
      <c r="CT50" s="25"/>
      <c r="CU50" s="25"/>
      <c r="CV50" s="25"/>
      <c r="CW50" s="25"/>
      <c r="CX50" s="25"/>
      <c r="CY50" s="25"/>
      <c r="CZ50" s="25"/>
      <c r="DA50" s="25"/>
      <c r="DB50" s="25"/>
      <c r="DC50" s="25"/>
      <c r="DD50" s="25"/>
      <c r="DE50" s="25"/>
      <c r="DF50" s="25"/>
      <c r="DG50" s="25"/>
      <c r="DH50" s="25"/>
      <c r="DI50" s="25"/>
      <c r="DJ50" s="25"/>
      <c r="DK50" s="25"/>
      <c r="DL50" s="25"/>
      <c r="DM50" s="25"/>
      <c r="DN50" s="25"/>
      <c r="DO50" s="25"/>
      <c r="DP50" s="25"/>
      <c r="DQ50" s="25"/>
      <c r="DR50" s="25"/>
      <c r="DS50" s="25"/>
      <c r="DT50" s="25"/>
      <c r="DU50" s="25"/>
      <c r="DV50" s="25"/>
      <c r="DW50" s="25"/>
      <c r="DX50" s="25"/>
      <c r="DY50" s="25"/>
      <c r="DZ50" s="25"/>
      <c r="EA50" s="25"/>
      <c r="EB50" s="25"/>
      <c r="EC50" s="25"/>
      <c r="ED50" s="25"/>
      <c r="EE50" s="25"/>
      <c r="EF50" s="25"/>
      <c r="EG50" s="25"/>
      <c r="EH50" s="25"/>
      <c r="EI50" s="25"/>
      <c r="EJ50" s="25"/>
      <c r="EK50" s="25"/>
      <c r="EL50" s="25"/>
      <c r="EM50" s="25"/>
      <c r="EN50" s="25"/>
      <c r="EO50" s="25"/>
      <c r="EP50" s="25"/>
      <c r="EQ50" s="25"/>
      <c r="ER50" s="25"/>
      <c r="ES50" s="25"/>
      <c r="ET50" s="25"/>
    </row>
    <row r="51" spans="1:150" x14ac:dyDescent="0.25">
      <c r="A51" s="4">
        <v>2019</v>
      </c>
      <c r="B51" s="22">
        <f>B22/'Rate Class Energy Model'!J20</f>
        <v>2.6170828283235354E-3</v>
      </c>
      <c r="C51" s="22">
        <f>C22/'Rate Class Energy Model'!K20</f>
        <v>1.9068082109691437E-3</v>
      </c>
      <c r="D51" s="22">
        <f>D22/'Rate Class Energy Model'!L20</f>
        <v>2.7943269527337853E-3</v>
      </c>
      <c r="E51" s="22">
        <f>E22/'Rate Class Energy Model'!M20</f>
        <v>2.5350331468204385E-3</v>
      </c>
      <c r="F51" s="21"/>
      <c r="G51" s="21"/>
      <c r="H51" s="21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5"/>
      <c r="BI51" s="25"/>
      <c r="BJ51" s="25"/>
      <c r="BK51" s="25"/>
      <c r="BL51" s="25"/>
      <c r="BM51" s="25"/>
      <c r="BN51" s="25"/>
      <c r="BO51" s="25"/>
      <c r="BP51" s="25"/>
      <c r="BQ51" s="25"/>
      <c r="BR51" s="25"/>
      <c r="BS51" s="25"/>
      <c r="BT51" s="25"/>
      <c r="BU51" s="25"/>
      <c r="BV51" s="25"/>
      <c r="BW51" s="25"/>
      <c r="BX51" s="25"/>
      <c r="BY51" s="25"/>
      <c r="BZ51" s="25"/>
      <c r="CA51" s="25"/>
      <c r="CB51" s="25"/>
      <c r="CC51" s="25"/>
      <c r="CD51" s="25"/>
      <c r="CE51" s="25"/>
      <c r="CF51" s="25"/>
      <c r="CG51" s="25"/>
      <c r="CH51" s="25"/>
      <c r="CI51" s="25"/>
      <c r="CJ51" s="25"/>
      <c r="CK51" s="25"/>
      <c r="CL51" s="25"/>
      <c r="CM51" s="25"/>
      <c r="CN51" s="25"/>
      <c r="CO51" s="25"/>
      <c r="CP51" s="25"/>
      <c r="CQ51" s="25"/>
      <c r="CR51" s="25"/>
      <c r="CS51" s="25"/>
      <c r="CT51" s="25"/>
      <c r="CU51" s="25"/>
      <c r="CV51" s="25"/>
      <c r="CW51" s="25"/>
      <c r="CX51" s="25"/>
      <c r="CY51" s="25"/>
      <c r="CZ51" s="25"/>
      <c r="DA51" s="25"/>
      <c r="DB51" s="25"/>
      <c r="DC51" s="25"/>
      <c r="DD51" s="25"/>
      <c r="DE51" s="25"/>
      <c r="DF51" s="25"/>
      <c r="DG51" s="25"/>
      <c r="DH51" s="25"/>
      <c r="DI51" s="25"/>
      <c r="DJ51" s="25"/>
      <c r="DK51" s="25"/>
      <c r="DL51" s="25"/>
      <c r="DM51" s="25"/>
      <c r="DN51" s="25"/>
      <c r="DO51" s="25"/>
      <c r="DP51" s="25"/>
      <c r="DQ51" s="25"/>
      <c r="DR51" s="25"/>
      <c r="DS51" s="25"/>
      <c r="DT51" s="25"/>
      <c r="DU51" s="25"/>
      <c r="DV51" s="25"/>
      <c r="DW51" s="25"/>
      <c r="DX51" s="25"/>
      <c r="DY51" s="25"/>
      <c r="DZ51" s="25"/>
      <c r="EA51" s="25"/>
      <c r="EB51" s="25"/>
      <c r="EC51" s="25"/>
      <c r="ED51" s="25"/>
      <c r="EE51" s="25"/>
      <c r="EF51" s="25"/>
      <c r="EG51" s="25"/>
      <c r="EH51" s="25"/>
      <c r="EI51" s="25"/>
      <c r="EJ51" s="25"/>
      <c r="EK51" s="25"/>
      <c r="EL51" s="25"/>
      <c r="EM51" s="25"/>
      <c r="EN51" s="25"/>
      <c r="EO51" s="25"/>
      <c r="EP51" s="25"/>
      <c r="EQ51" s="25"/>
      <c r="ER51" s="25"/>
      <c r="ES51" s="25"/>
      <c r="ET51" s="25"/>
    </row>
    <row r="52" spans="1:150" x14ac:dyDescent="0.25">
      <c r="A52" s="4"/>
      <c r="B52" s="22"/>
      <c r="C52" s="22"/>
      <c r="D52" s="22"/>
      <c r="E52" s="22"/>
      <c r="F52" s="21"/>
      <c r="G52" s="21"/>
      <c r="H52" s="21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25"/>
      <c r="BM52" s="25"/>
      <c r="BN52" s="25"/>
      <c r="BO52" s="25"/>
      <c r="BP52" s="25"/>
      <c r="BQ52" s="25"/>
      <c r="BR52" s="25"/>
      <c r="BS52" s="25"/>
      <c r="BT52" s="25"/>
      <c r="BU52" s="25"/>
      <c r="BV52" s="25"/>
      <c r="BW52" s="25"/>
      <c r="BX52" s="25"/>
      <c r="BY52" s="25"/>
      <c r="BZ52" s="25"/>
      <c r="CA52" s="25"/>
      <c r="CB52" s="25"/>
      <c r="CC52" s="25"/>
      <c r="CD52" s="25"/>
      <c r="CE52" s="25"/>
      <c r="CF52" s="25"/>
      <c r="CG52" s="25"/>
      <c r="CH52" s="25"/>
      <c r="CI52" s="25"/>
      <c r="CJ52" s="25"/>
      <c r="CK52" s="25"/>
      <c r="CL52" s="25"/>
      <c r="CM52" s="25"/>
      <c r="CN52" s="25"/>
      <c r="CO52" s="25"/>
      <c r="CP52" s="25"/>
      <c r="CQ52" s="25"/>
      <c r="CR52" s="25"/>
      <c r="CS52" s="25"/>
      <c r="CT52" s="25"/>
      <c r="CU52" s="25"/>
      <c r="CV52" s="25"/>
      <c r="CW52" s="25"/>
      <c r="CX52" s="25"/>
      <c r="CY52" s="25"/>
      <c r="CZ52" s="25"/>
      <c r="DA52" s="25"/>
      <c r="DB52" s="25"/>
      <c r="DC52" s="25"/>
      <c r="DD52" s="25"/>
      <c r="DE52" s="25"/>
      <c r="DF52" s="25"/>
      <c r="DG52" s="25"/>
      <c r="DH52" s="25"/>
      <c r="DI52" s="25"/>
      <c r="DJ52" s="25"/>
      <c r="DK52" s="25"/>
      <c r="DL52" s="25"/>
      <c r="DM52" s="25"/>
      <c r="DN52" s="25"/>
      <c r="DO52" s="25"/>
      <c r="DP52" s="25"/>
      <c r="DQ52" s="25"/>
      <c r="DR52" s="25"/>
      <c r="DS52" s="25"/>
      <c r="DT52" s="25"/>
      <c r="DU52" s="25"/>
      <c r="DV52" s="25"/>
      <c r="DW52" s="25"/>
      <c r="DX52" s="25"/>
      <c r="DY52" s="25"/>
      <c r="DZ52" s="25"/>
      <c r="EA52" s="25"/>
      <c r="EB52" s="25"/>
      <c r="EC52" s="25"/>
      <c r="ED52" s="25"/>
      <c r="EE52" s="25"/>
      <c r="EF52" s="25"/>
      <c r="EG52" s="25"/>
      <c r="EH52" s="25"/>
      <c r="EI52" s="25"/>
      <c r="EJ52" s="25"/>
      <c r="EK52" s="25"/>
      <c r="EL52" s="25"/>
      <c r="EM52" s="25"/>
      <c r="EN52" s="25"/>
      <c r="EO52" s="25"/>
      <c r="EP52" s="25"/>
      <c r="EQ52" s="25"/>
      <c r="ER52" s="25"/>
      <c r="ES52" s="25"/>
      <c r="ET52" s="25"/>
    </row>
    <row r="53" spans="1:150" x14ac:dyDescent="0.25">
      <c r="A53" s="4"/>
      <c r="B53" s="22"/>
      <c r="C53" s="22"/>
      <c r="D53" s="22"/>
      <c r="E53" s="22"/>
      <c r="F53" s="21"/>
      <c r="G53" s="21"/>
      <c r="H53" s="21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BZ53" s="25"/>
      <c r="CA53" s="25"/>
      <c r="CB53" s="25"/>
      <c r="CC53" s="25"/>
      <c r="CD53" s="25"/>
      <c r="CE53" s="25"/>
      <c r="CF53" s="25"/>
      <c r="CG53" s="25"/>
      <c r="CH53" s="25"/>
      <c r="CI53" s="25"/>
      <c r="CJ53" s="25"/>
      <c r="CK53" s="25"/>
      <c r="CL53" s="25"/>
      <c r="CM53" s="25"/>
      <c r="CN53" s="25"/>
      <c r="CO53" s="25"/>
      <c r="CP53" s="25"/>
      <c r="CQ53" s="25"/>
      <c r="CR53" s="25"/>
      <c r="CS53" s="25"/>
      <c r="CT53" s="25"/>
      <c r="CU53" s="25"/>
      <c r="CV53" s="25"/>
      <c r="CW53" s="25"/>
      <c r="CX53" s="25"/>
      <c r="CY53" s="25"/>
      <c r="CZ53" s="25"/>
      <c r="DA53" s="25"/>
      <c r="DB53" s="25"/>
      <c r="DC53" s="25"/>
      <c r="DD53" s="25"/>
      <c r="DE53" s="25"/>
      <c r="DF53" s="25"/>
      <c r="DG53" s="25"/>
      <c r="DH53" s="25"/>
      <c r="DI53" s="25"/>
      <c r="DJ53" s="25"/>
      <c r="DK53" s="25"/>
      <c r="DL53" s="25"/>
      <c r="DM53" s="25"/>
      <c r="DN53" s="25"/>
      <c r="DO53" s="25"/>
      <c r="DP53" s="25"/>
      <c r="DQ53" s="25"/>
      <c r="DR53" s="25"/>
      <c r="DS53" s="25"/>
      <c r="DT53" s="25"/>
      <c r="DU53" s="25"/>
      <c r="DV53" s="25"/>
      <c r="DW53" s="25"/>
      <c r="DX53" s="25"/>
      <c r="DY53" s="25"/>
      <c r="DZ53" s="25"/>
      <c r="EA53" s="25"/>
      <c r="EB53" s="25"/>
      <c r="EC53" s="25"/>
      <c r="ED53" s="25"/>
      <c r="EE53" s="25"/>
      <c r="EF53" s="25"/>
      <c r="EG53" s="25"/>
      <c r="EH53" s="25"/>
      <c r="EI53" s="25"/>
      <c r="EJ53" s="25"/>
      <c r="EK53" s="25"/>
      <c r="EL53" s="25"/>
      <c r="EM53" s="25"/>
      <c r="EN53" s="25"/>
      <c r="EO53" s="25"/>
      <c r="EP53" s="25"/>
      <c r="EQ53" s="25"/>
      <c r="ER53" s="25"/>
      <c r="ES53" s="25"/>
      <c r="ET53" s="25"/>
    </row>
    <row r="54" spans="1:150" x14ac:dyDescent="0.25">
      <c r="A54" s="211" t="s">
        <v>54</v>
      </c>
      <c r="B54" s="22">
        <f>+B56</f>
        <v>2.6224915418926477E-3</v>
      </c>
      <c r="C54" s="22">
        <f>+C56</f>
        <v>1.8746566438631188E-3</v>
      </c>
      <c r="D54" s="194">
        <f>+D49</f>
        <v>2.7943269527337853E-3</v>
      </c>
      <c r="E54" s="22">
        <f>+E56</f>
        <v>2.5404739071482902E-3</v>
      </c>
      <c r="F54" s="21"/>
      <c r="G54" s="21"/>
      <c r="H54" s="21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5"/>
      <c r="BL54" s="25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BZ54" s="25"/>
      <c r="CA54" s="25"/>
      <c r="CB54" s="25"/>
      <c r="CC54" s="25"/>
      <c r="CD54" s="25"/>
      <c r="CE54" s="25"/>
      <c r="CF54" s="25"/>
      <c r="CG54" s="25"/>
      <c r="CH54" s="25"/>
      <c r="CI54" s="25"/>
      <c r="CJ54" s="25"/>
      <c r="CK54" s="25"/>
      <c r="CL54" s="25"/>
      <c r="CM54" s="25"/>
      <c r="CN54" s="25"/>
      <c r="CO54" s="25"/>
      <c r="CP54" s="25"/>
      <c r="CQ54" s="25"/>
      <c r="CR54" s="25"/>
      <c r="CS54" s="25"/>
      <c r="CT54" s="25"/>
      <c r="CU54" s="25"/>
      <c r="CV54" s="25"/>
      <c r="CW54" s="25"/>
      <c r="CX54" s="25"/>
      <c r="CY54" s="25"/>
      <c r="CZ54" s="25"/>
      <c r="DA54" s="25"/>
      <c r="DB54" s="25"/>
      <c r="DC54" s="25"/>
      <c r="DD54" s="25"/>
      <c r="DE54" s="25"/>
      <c r="DF54" s="25"/>
      <c r="DG54" s="25"/>
      <c r="DH54" s="25"/>
      <c r="DI54" s="25"/>
      <c r="DJ54" s="25"/>
      <c r="DK54" s="25"/>
      <c r="DL54" s="25"/>
      <c r="DM54" s="25"/>
      <c r="DN54" s="25"/>
      <c r="DO54" s="25"/>
      <c r="DP54" s="25"/>
      <c r="DQ54" s="25"/>
      <c r="DR54" s="25"/>
      <c r="DS54" s="25"/>
      <c r="DT54" s="25"/>
      <c r="DU54" s="25"/>
      <c r="DV54" s="25"/>
      <c r="DW54" s="25"/>
      <c r="DX54" s="25"/>
      <c r="DY54" s="25"/>
      <c r="DZ54" s="25"/>
      <c r="EA54" s="25"/>
      <c r="EB54" s="25"/>
      <c r="EC54" s="25"/>
      <c r="ED54" s="25"/>
      <c r="EE54" s="25"/>
      <c r="EF54" s="25"/>
      <c r="EG54" s="25"/>
      <c r="EH54" s="25"/>
      <c r="EI54" s="25"/>
      <c r="EJ54" s="25"/>
      <c r="EK54" s="25"/>
      <c r="EL54" s="25"/>
      <c r="EM54" s="25"/>
      <c r="EN54" s="25"/>
      <c r="EO54" s="25"/>
      <c r="EP54" s="25"/>
      <c r="EQ54" s="25"/>
      <c r="ER54" s="25"/>
      <c r="ES54" s="25"/>
      <c r="ET54" s="25"/>
    </row>
    <row r="55" spans="1:150" ht="13" thickBot="1" x14ac:dyDescent="0.3">
      <c r="A55" s="4"/>
      <c r="B55" s="180"/>
      <c r="C55" s="180"/>
      <c r="D55" s="180"/>
      <c r="E55" s="180"/>
      <c r="F55" s="21"/>
      <c r="G55" s="21"/>
      <c r="H55" s="21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25"/>
      <c r="BL55" s="25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BZ55" s="25"/>
      <c r="CA55" s="25"/>
      <c r="CB55" s="25"/>
      <c r="CC55" s="25"/>
      <c r="CD55" s="25"/>
      <c r="CE55" s="25"/>
      <c r="CF55" s="25"/>
      <c r="CG55" s="25"/>
      <c r="CH55" s="25"/>
      <c r="CI55" s="25"/>
      <c r="CJ55" s="25"/>
      <c r="CK55" s="25"/>
      <c r="CL55" s="25"/>
      <c r="CM55" s="25"/>
      <c r="CN55" s="25"/>
      <c r="CO55" s="25"/>
      <c r="CP55" s="25"/>
      <c r="CQ55" s="25"/>
      <c r="CR55" s="25"/>
      <c r="CS55" s="25"/>
      <c r="CT55" s="25"/>
      <c r="CU55" s="25"/>
      <c r="CV55" s="25"/>
      <c r="CW55" s="25"/>
      <c r="CX55" s="25"/>
      <c r="CY55" s="25"/>
      <c r="CZ55" s="25"/>
      <c r="DA55" s="25"/>
      <c r="DB55" s="25"/>
      <c r="DC55" s="25"/>
      <c r="DD55" s="25"/>
      <c r="DE55" s="25"/>
      <c r="DF55" s="25"/>
      <c r="DG55" s="25"/>
      <c r="DH55" s="25"/>
      <c r="DI55" s="25"/>
      <c r="DJ55" s="25"/>
      <c r="DK55" s="25"/>
      <c r="DL55" s="25"/>
      <c r="DM55" s="25"/>
      <c r="DN55" s="25"/>
      <c r="DO55" s="25"/>
      <c r="DP55" s="25"/>
      <c r="DQ55" s="25"/>
      <c r="DR55" s="25"/>
      <c r="DS55" s="25"/>
      <c r="DT55" s="25"/>
      <c r="DU55" s="25"/>
      <c r="DV55" s="25"/>
      <c r="DW55" s="25"/>
      <c r="DX55" s="25"/>
      <c r="DY55" s="25"/>
      <c r="DZ55" s="25"/>
      <c r="EA55" s="25"/>
      <c r="EB55" s="25"/>
      <c r="EC55" s="25"/>
      <c r="ED55" s="25"/>
      <c r="EE55" s="25"/>
      <c r="EF55" s="25"/>
      <c r="EG55" s="25"/>
      <c r="EH55" s="25"/>
      <c r="EI55" s="25"/>
      <c r="EJ55" s="25"/>
      <c r="EK55" s="25"/>
      <c r="EL55" s="25"/>
      <c r="EM55" s="25"/>
      <c r="EN55" s="25"/>
      <c r="EO55" s="25"/>
      <c r="EP55" s="25"/>
      <c r="EQ55" s="25"/>
      <c r="ER55" s="25"/>
      <c r="ES55" s="25"/>
      <c r="ET55" s="25"/>
    </row>
    <row r="56" spans="1:150" ht="13.5" thickBot="1" x14ac:dyDescent="0.35">
      <c r="A56" s="191" t="s">
        <v>13</v>
      </c>
      <c r="B56" s="194">
        <f>AVERAGE(B49:B51)</f>
        <v>2.6224915418926477E-3</v>
      </c>
      <c r="C56" s="194">
        <f>AVERAGE(C49:C51)</f>
        <v>1.8746566438631188E-3</v>
      </c>
      <c r="D56" s="194">
        <f>AVERAGE(D49:D51)</f>
        <v>2.7965155172688968E-3</v>
      </c>
      <c r="E56" s="194">
        <f>AVERAGE(E49:E51)</f>
        <v>2.5404739071482902E-3</v>
      </c>
      <c r="F56" s="188"/>
      <c r="G56" s="190" t="s">
        <v>167</v>
      </c>
      <c r="H56" s="189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25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BZ56" s="25"/>
      <c r="CA56" s="25"/>
      <c r="CB56" s="25"/>
      <c r="CC56" s="25"/>
      <c r="CD56" s="25"/>
      <c r="CE56" s="25"/>
      <c r="CF56" s="25"/>
      <c r="CG56" s="25"/>
      <c r="CH56" s="25"/>
      <c r="CI56" s="25"/>
      <c r="CJ56" s="25"/>
      <c r="CK56" s="25"/>
      <c r="CL56" s="25"/>
      <c r="CM56" s="25"/>
      <c r="CN56" s="25"/>
      <c r="CO56" s="25"/>
      <c r="CP56" s="25"/>
      <c r="CQ56" s="25"/>
      <c r="CR56" s="25"/>
      <c r="CS56" s="25"/>
      <c r="CT56" s="25"/>
      <c r="CU56" s="25"/>
      <c r="CV56" s="25"/>
      <c r="CW56" s="25"/>
      <c r="CX56" s="25"/>
      <c r="CY56" s="25"/>
      <c r="CZ56" s="25"/>
      <c r="DA56" s="25"/>
      <c r="DB56" s="25"/>
      <c r="DC56" s="25"/>
      <c r="DD56" s="25"/>
      <c r="DE56" s="25"/>
      <c r="DF56" s="25"/>
      <c r="DG56" s="25"/>
      <c r="DH56" s="25"/>
      <c r="DI56" s="25"/>
      <c r="DJ56" s="25"/>
      <c r="DK56" s="25"/>
      <c r="DL56" s="25"/>
      <c r="DM56" s="25"/>
      <c r="DN56" s="25"/>
      <c r="DO56" s="25"/>
      <c r="DP56" s="25"/>
      <c r="DQ56" s="25"/>
      <c r="DR56" s="25"/>
      <c r="DS56" s="25"/>
      <c r="DT56" s="25"/>
      <c r="DU56" s="25"/>
      <c r="DV56" s="25"/>
      <c r="DW56" s="25"/>
      <c r="DX56" s="25"/>
      <c r="DY56" s="25"/>
      <c r="DZ56" s="25"/>
      <c r="EA56" s="25"/>
      <c r="EB56" s="25"/>
      <c r="EC56" s="25"/>
      <c r="ED56" s="25"/>
      <c r="EE56" s="25"/>
      <c r="EF56" s="25"/>
      <c r="EG56" s="25"/>
      <c r="EH56" s="25"/>
      <c r="EI56" s="25"/>
      <c r="EJ56" s="25"/>
      <c r="EK56" s="25"/>
      <c r="EL56" s="25"/>
      <c r="EM56" s="25"/>
      <c r="EN56" s="25"/>
      <c r="EO56" s="25"/>
      <c r="EP56" s="25"/>
      <c r="EQ56" s="25"/>
      <c r="ER56" s="25"/>
      <c r="ES56" s="25"/>
      <c r="ET56" s="25"/>
    </row>
    <row r="57" spans="1:150" x14ac:dyDescent="0.25">
      <c r="A57" t="s">
        <v>125</v>
      </c>
      <c r="B57" s="142"/>
      <c r="C57" s="142"/>
      <c r="D57" s="142"/>
      <c r="E57" s="142"/>
      <c r="F57" s="21"/>
      <c r="G57" s="21"/>
      <c r="H57" s="21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BZ57" s="25"/>
      <c r="CA57" s="25"/>
      <c r="CB57" s="25"/>
      <c r="CC57" s="25"/>
      <c r="CD57" s="25"/>
      <c r="CE57" s="25"/>
      <c r="CF57" s="25"/>
      <c r="CG57" s="25"/>
      <c r="CH57" s="25"/>
      <c r="CI57" s="25"/>
      <c r="CJ57" s="25"/>
      <c r="CK57" s="25"/>
      <c r="CL57" s="25"/>
      <c r="CM57" s="25"/>
      <c r="CN57" s="25"/>
      <c r="CO57" s="25"/>
      <c r="CP57" s="25"/>
      <c r="CQ57" s="25"/>
      <c r="CR57" s="25"/>
      <c r="CS57" s="25"/>
      <c r="CT57" s="25"/>
      <c r="CU57" s="25"/>
      <c r="CV57" s="25"/>
      <c r="CW57" s="25"/>
      <c r="CX57" s="25"/>
      <c r="CY57" s="25"/>
      <c r="CZ57" s="25"/>
      <c r="DA57" s="25"/>
      <c r="DB57" s="25"/>
      <c r="DC57" s="25"/>
      <c r="DD57" s="25"/>
      <c r="DE57" s="25"/>
      <c r="DF57" s="25"/>
      <c r="DG57" s="25"/>
      <c r="DH57" s="25"/>
      <c r="DI57" s="25"/>
      <c r="DJ57" s="25"/>
      <c r="DK57" s="25"/>
      <c r="DL57" s="25"/>
      <c r="DM57" s="25"/>
      <c r="DN57" s="25"/>
      <c r="DO57" s="25"/>
      <c r="DP57" s="25"/>
      <c r="DQ57" s="25"/>
      <c r="DR57" s="25"/>
      <c r="DS57" s="25"/>
      <c r="DT57" s="25"/>
      <c r="DU57" s="25"/>
      <c r="DV57" s="25"/>
      <c r="DW57" s="25"/>
      <c r="DX57" s="25"/>
      <c r="DY57" s="25"/>
      <c r="DZ57" s="25"/>
      <c r="EA57" s="25"/>
      <c r="EB57" s="25"/>
      <c r="EC57" s="25"/>
      <c r="ED57" s="25"/>
      <c r="EE57" s="25"/>
      <c r="EF57" s="25"/>
      <c r="EG57" s="25"/>
      <c r="EH57" s="25"/>
      <c r="EI57" s="25"/>
      <c r="EJ57" s="25"/>
      <c r="EK57" s="25"/>
      <c r="EL57" s="25"/>
      <c r="EM57" s="25"/>
      <c r="EN57" s="25"/>
      <c r="EO57" s="25"/>
      <c r="EP57" s="25"/>
      <c r="EQ57" s="25"/>
      <c r="ER57" s="25"/>
      <c r="ES57" s="25"/>
      <c r="ET57" s="25"/>
    </row>
    <row r="58" spans="1:150" x14ac:dyDescent="0.25">
      <c r="B58" s="142">
        <f>+B56-B57</f>
        <v>2.6224915418926477E-3</v>
      </c>
      <c r="C58" s="142">
        <f>+C56-C57</f>
        <v>1.8746566438631188E-3</v>
      </c>
      <c r="D58" s="142">
        <f>+D56-D57</f>
        <v>2.7965155172688968E-3</v>
      </c>
      <c r="E58" s="142">
        <f>+E56-E57</f>
        <v>2.5404739071482902E-3</v>
      </c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BZ58" s="25"/>
      <c r="CA58" s="25"/>
      <c r="CB58" s="25"/>
      <c r="CC58" s="25"/>
      <c r="CD58" s="25"/>
      <c r="CE58" s="25"/>
      <c r="CF58" s="25"/>
      <c r="CG58" s="25"/>
      <c r="CH58" s="25"/>
      <c r="CI58" s="25"/>
      <c r="CJ58" s="25"/>
      <c r="CK58" s="25"/>
      <c r="CL58" s="25"/>
      <c r="CM58" s="25"/>
      <c r="CN58" s="25"/>
      <c r="CO58" s="25"/>
      <c r="CP58" s="25"/>
      <c r="CQ58" s="25"/>
      <c r="CR58" s="25"/>
      <c r="CS58" s="25"/>
      <c r="CT58" s="25"/>
      <c r="CU58" s="25"/>
      <c r="CV58" s="25"/>
      <c r="CW58" s="25"/>
      <c r="CX58" s="25"/>
      <c r="CY58" s="25"/>
      <c r="CZ58" s="25"/>
      <c r="DA58" s="25"/>
      <c r="DB58" s="25"/>
      <c r="DC58" s="25"/>
      <c r="DD58" s="25"/>
      <c r="DE58" s="25"/>
      <c r="DF58" s="25"/>
      <c r="DG58" s="25"/>
      <c r="DH58" s="25"/>
      <c r="DI58" s="25"/>
      <c r="DJ58" s="25"/>
      <c r="DK58" s="25"/>
      <c r="DL58" s="25"/>
      <c r="DM58" s="25"/>
      <c r="DN58" s="25"/>
      <c r="DO58" s="25"/>
      <c r="DP58" s="25"/>
      <c r="DQ58" s="25"/>
      <c r="DR58" s="25"/>
      <c r="DS58" s="25"/>
      <c r="DT58" s="25"/>
      <c r="DU58" s="25"/>
      <c r="DV58" s="25"/>
      <c r="DW58" s="25"/>
      <c r="DX58" s="25"/>
      <c r="DY58" s="25"/>
      <c r="DZ58" s="25"/>
      <c r="EA58" s="25"/>
      <c r="EB58" s="25"/>
      <c r="EC58" s="25"/>
      <c r="ED58" s="25"/>
      <c r="EE58" s="25"/>
      <c r="EF58" s="25"/>
      <c r="EG58" s="25"/>
      <c r="EH58" s="25"/>
      <c r="EI58" s="25"/>
      <c r="EJ58" s="25"/>
      <c r="EK58" s="25"/>
      <c r="EL58" s="25"/>
      <c r="EM58" s="25"/>
      <c r="EN58" s="25"/>
      <c r="EO58" s="25"/>
      <c r="EP58" s="25"/>
      <c r="EQ58" s="25"/>
      <c r="ER58" s="25"/>
      <c r="ES58" s="25"/>
      <c r="ET58" s="25"/>
    </row>
    <row r="59" spans="1:150" x14ac:dyDescent="0.25">
      <c r="B59" s="44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BZ59" s="25"/>
      <c r="CA59" s="25"/>
      <c r="CB59" s="25"/>
      <c r="CC59" s="25"/>
      <c r="CD59" s="25"/>
      <c r="CE59" s="25"/>
      <c r="CF59" s="25"/>
      <c r="CG59" s="25"/>
      <c r="CH59" s="25"/>
      <c r="CI59" s="25"/>
      <c r="CJ59" s="25"/>
      <c r="CK59" s="25"/>
      <c r="CL59" s="25"/>
      <c r="CM59" s="25"/>
      <c r="CN59" s="25"/>
      <c r="CO59" s="25"/>
      <c r="CP59" s="25"/>
      <c r="CQ59" s="25"/>
      <c r="CR59" s="25"/>
      <c r="CS59" s="25"/>
      <c r="CT59" s="25"/>
      <c r="CU59" s="25"/>
      <c r="CV59" s="25"/>
      <c r="CW59" s="25"/>
      <c r="CX59" s="25"/>
      <c r="CY59" s="25"/>
      <c r="CZ59" s="25"/>
      <c r="DA59" s="25"/>
      <c r="DB59" s="25"/>
      <c r="DC59" s="25"/>
      <c r="DD59" s="25"/>
      <c r="DE59" s="25"/>
      <c r="DF59" s="25"/>
      <c r="DG59" s="25"/>
      <c r="DH59" s="25"/>
      <c r="DI59" s="25"/>
      <c r="DJ59" s="25"/>
      <c r="DK59" s="25"/>
      <c r="DL59" s="25"/>
      <c r="DM59" s="25"/>
      <c r="DN59" s="25"/>
      <c r="DO59" s="25"/>
      <c r="DP59" s="25"/>
      <c r="DQ59" s="25"/>
      <c r="DR59" s="25"/>
      <c r="DS59" s="25"/>
      <c r="DT59" s="25"/>
      <c r="DU59" s="25"/>
      <c r="DV59" s="25"/>
      <c r="DW59" s="25"/>
      <c r="DX59" s="25"/>
      <c r="DY59" s="25"/>
      <c r="DZ59" s="25"/>
      <c r="EA59" s="25"/>
      <c r="EB59" s="25"/>
      <c r="EC59" s="25"/>
      <c r="ED59" s="25"/>
      <c r="EE59" s="25"/>
      <c r="EF59" s="25"/>
      <c r="EG59" s="25"/>
      <c r="EH59" s="25"/>
      <c r="EI59" s="25"/>
      <c r="EJ59" s="25"/>
      <c r="EK59" s="25"/>
      <c r="EL59" s="25"/>
      <c r="EM59" s="25"/>
      <c r="EN59" s="25"/>
      <c r="EO59" s="25"/>
      <c r="EP59" s="25"/>
      <c r="EQ59" s="25"/>
      <c r="ER59" s="25"/>
      <c r="ES59" s="25"/>
      <c r="ET59" s="25"/>
    </row>
    <row r="60" spans="1:150" ht="13" x14ac:dyDescent="0.3">
      <c r="A60" s="143" t="s">
        <v>130</v>
      </c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BZ60" s="25"/>
      <c r="CA60" s="25"/>
      <c r="CB60" s="25"/>
      <c r="CC60" s="25"/>
      <c r="CD60" s="25"/>
      <c r="CE60" s="25"/>
      <c r="CF60" s="25"/>
      <c r="CG60" s="25"/>
      <c r="CH60" s="25"/>
      <c r="CI60" s="25"/>
      <c r="CJ60" s="25"/>
      <c r="CK60" s="25"/>
      <c r="CL60" s="25"/>
      <c r="CM60" s="25"/>
      <c r="CN60" s="25"/>
      <c r="CO60" s="25"/>
      <c r="CP60" s="25"/>
      <c r="CQ60" s="25"/>
      <c r="CR60" s="25"/>
      <c r="CS60" s="25"/>
      <c r="CT60" s="25"/>
      <c r="CU60" s="25"/>
      <c r="CV60" s="25"/>
      <c r="CW60" s="25"/>
      <c r="CX60" s="25"/>
      <c r="CY60" s="25"/>
      <c r="CZ60" s="25"/>
      <c r="DA60" s="25"/>
      <c r="DB60" s="25"/>
      <c r="DC60" s="25"/>
      <c r="DD60" s="25"/>
      <c r="DE60" s="25"/>
      <c r="DF60" s="25"/>
      <c r="DG60" s="25"/>
      <c r="DH60" s="25"/>
      <c r="DI60" s="25"/>
      <c r="DJ60" s="25"/>
      <c r="DK60" s="25"/>
      <c r="DL60" s="25"/>
      <c r="DM60" s="25"/>
      <c r="DN60" s="25"/>
      <c r="DO60" s="25"/>
      <c r="DP60" s="25"/>
      <c r="DQ60" s="25"/>
      <c r="DR60" s="25"/>
      <c r="DS60" s="25"/>
      <c r="DT60" s="25"/>
      <c r="DU60" s="25"/>
      <c r="DV60" s="25"/>
      <c r="DW60" s="25"/>
      <c r="DX60" s="25"/>
      <c r="DY60" s="25"/>
      <c r="DZ60" s="25"/>
      <c r="EA60" s="25"/>
      <c r="EB60" s="25"/>
      <c r="EC60" s="25"/>
      <c r="ED60" s="25"/>
      <c r="EE60" s="25"/>
      <c r="EF60" s="25"/>
      <c r="EG60" s="25"/>
      <c r="EH60" s="25"/>
      <c r="EI60" s="25"/>
      <c r="EJ60" s="25"/>
      <c r="EK60" s="25"/>
      <c r="EL60" s="25"/>
      <c r="EM60" s="25"/>
      <c r="EN60" s="25"/>
      <c r="EO60" s="25"/>
      <c r="EP60" s="25"/>
      <c r="EQ60" s="25"/>
      <c r="ER60" s="25"/>
      <c r="ES60" s="25"/>
      <c r="ET60" s="25"/>
    </row>
    <row r="61" spans="1:150" x14ac:dyDescent="0.25">
      <c r="A61" s="280" t="s">
        <v>168</v>
      </c>
      <c r="B61" s="182"/>
      <c r="C61" s="182"/>
      <c r="D61" s="182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BZ61" s="25"/>
      <c r="CA61" s="25"/>
      <c r="CB61" s="25"/>
      <c r="CC61" s="25"/>
      <c r="CD61" s="25"/>
      <c r="CE61" s="25"/>
      <c r="CF61" s="25"/>
      <c r="CG61" s="25"/>
      <c r="CH61" s="25"/>
      <c r="CI61" s="25"/>
      <c r="CJ61" s="25"/>
      <c r="CK61" s="25"/>
      <c r="CL61" s="25"/>
      <c r="CM61" s="25"/>
      <c r="CN61" s="25"/>
      <c r="CO61" s="25"/>
      <c r="CP61" s="25"/>
      <c r="CQ61" s="25"/>
      <c r="CR61" s="25"/>
      <c r="CS61" s="25"/>
      <c r="CT61" s="25"/>
      <c r="CU61" s="25"/>
      <c r="CV61" s="25"/>
      <c r="CW61" s="25"/>
      <c r="CX61" s="25"/>
      <c r="CY61" s="25"/>
      <c r="CZ61" s="25"/>
      <c r="DA61" s="25"/>
      <c r="DB61" s="25"/>
      <c r="DC61" s="25"/>
      <c r="DD61" s="25"/>
      <c r="DE61" s="25"/>
      <c r="DF61" s="25"/>
      <c r="DG61" s="25"/>
      <c r="DH61" s="25"/>
      <c r="DI61" s="25"/>
      <c r="DJ61" s="25"/>
      <c r="DK61" s="25"/>
      <c r="DL61" s="25"/>
      <c r="DM61" s="25"/>
      <c r="DN61" s="25"/>
      <c r="DO61" s="25"/>
      <c r="DP61" s="25"/>
      <c r="DQ61" s="25"/>
      <c r="DR61" s="25"/>
      <c r="DS61" s="25"/>
      <c r="DT61" s="25"/>
      <c r="DU61" s="25"/>
      <c r="DV61" s="25"/>
      <c r="DW61" s="25"/>
      <c r="DX61" s="25"/>
      <c r="DY61" s="25"/>
      <c r="DZ61" s="25"/>
      <c r="EA61" s="25"/>
      <c r="EB61" s="25"/>
      <c r="EC61" s="25"/>
      <c r="ED61" s="25"/>
      <c r="EE61" s="25"/>
      <c r="EF61" s="25"/>
      <c r="EG61" s="25"/>
      <c r="EH61" s="25"/>
      <c r="EI61" s="25"/>
      <c r="EJ61" s="25"/>
      <c r="EK61" s="25"/>
      <c r="EL61" s="25"/>
      <c r="EM61" s="25"/>
      <c r="EN61" s="25"/>
      <c r="EO61" s="25"/>
      <c r="EP61" s="25"/>
      <c r="EQ61" s="25"/>
      <c r="ER61" s="25"/>
      <c r="ES61" s="25"/>
      <c r="ET61" s="25"/>
    </row>
    <row r="62" spans="1:150" x14ac:dyDescent="0.25">
      <c r="B62"/>
      <c r="C62" s="20"/>
      <c r="D62" s="20"/>
      <c r="E62" s="20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BZ62" s="25"/>
      <c r="CA62" s="25"/>
      <c r="CB62" s="25"/>
      <c r="CC62" s="25"/>
      <c r="CD62" s="25"/>
      <c r="CE62" s="25"/>
      <c r="CF62" s="25"/>
      <c r="CG62" s="25"/>
      <c r="CH62" s="25"/>
      <c r="CI62" s="25"/>
      <c r="CJ62" s="25"/>
      <c r="CK62" s="25"/>
      <c r="CL62" s="25"/>
      <c r="CM62" s="25"/>
      <c r="CN62" s="25"/>
      <c r="CO62" s="25"/>
      <c r="CP62" s="25"/>
      <c r="CQ62" s="25"/>
      <c r="CR62" s="25"/>
      <c r="CS62" s="25"/>
      <c r="CT62" s="25"/>
      <c r="CU62" s="25"/>
      <c r="CV62" s="25"/>
      <c r="CW62" s="25"/>
      <c r="CX62" s="25"/>
      <c r="CY62" s="25"/>
      <c r="CZ62" s="25"/>
      <c r="DA62" s="25"/>
      <c r="DB62" s="25"/>
      <c r="DC62" s="25"/>
      <c r="DD62" s="25"/>
      <c r="DE62" s="25"/>
      <c r="DF62" s="25"/>
      <c r="DG62" s="25"/>
      <c r="DH62" s="25"/>
      <c r="DI62" s="25"/>
      <c r="DJ62" s="25"/>
      <c r="DK62" s="25"/>
      <c r="DL62" s="25"/>
      <c r="DM62" s="25"/>
      <c r="DN62" s="25"/>
      <c r="DO62" s="25"/>
      <c r="DP62" s="25"/>
      <c r="DQ62" s="25"/>
      <c r="DR62" s="25"/>
      <c r="DS62" s="25"/>
      <c r="DT62" s="25"/>
      <c r="DU62" s="25"/>
      <c r="DV62" s="25"/>
      <c r="DW62" s="25"/>
      <c r="DX62" s="25"/>
      <c r="DY62" s="25"/>
      <c r="DZ62" s="25"/>
      <c r="EA62" s="25"/>
      <c r="EB62" s="25"/>
      <c r="EC62" s="25"/>
      <c r="ED62" s="25"/>
      <c r="EE62" s="25"/>
      <c r="EF62" s="25"/>
      <c r="EG62" s="25"/>
      <c r="EH62" s="25"/>
      <c r="EI62" s="25"/>
      <c r="EJ62" s="25"/>
      <c r="EK62" s="25"/>
      <c r="EL62" s="25"/>
      <c r="EM62" s="25"/>
      <c r="EN62" s="25"/>
      <c r="EO62" s="25"/>
      <c r="EP62" s="25"/>
      <c r="EQ62" s="25"/>
      <c r="ER62" s="25"/>
      <c r="ES62" s="25"/>
      <c r="ET62" s="25"/>
    </row>
    <row r="63" spans="1:150" x14ac:dyDescent="0.25">
      <c r="A63" t="s">
        <v>222</v>
      </c>
      <c r="B63" s="337">
        <f>AVERAGE(B42:B51)</f>
        <v>2.540844603141322E-3</v>
      </c>
      <c r="C63" s="337">
        <f>AVERAGE(C42:C51)</f>
        <v>1.9653856890153379E-3</v>
      </c>
      <c r="D63" s="337">
        <f>AVERAGE(D42:D51)</f>
        <v>2.7970607453892348E-3</v>
      </c>
      <c r="E63" s="337">
        <f>AVERAGE(E42:E51)</f>
        <v>2.7181945815121103E-3</v>
      </c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25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BZ63" s="25"/>
      <c r="CA63" s="25"/>
      <c r="CB63" s="25"/>
      <c r="CC63" s="25"/>
      <c r="CD63" s="25"/>
      <c r="CE63" s="25"/>
      <c r="CF63" s="25"/>
      <c r="CG63" s="25"/>
      <c r="CH63" s="25"/>
      <c r="CI63" s="25"/>
      <c r="CJ63" s="25"/>
      <c r="CK63" s="25"/>
      <c r="CL63" s="25"/>
      <c r="CM63" s="25"/>
      <c r="CN63" s="25"/>
      <c r="CO63" s="25"/>
      <c r="CP63" s="25"/>
      <c r="CQ63" s="25"/>
      <c r="CR63" s="25"/>
      <c r="CS63" s="25"/>
      <c r="CT63" s="25"/>
      <c r="CU63" s="25"/>
      <c r="CV63" s="25"/>
      <c r="CW63" s="25"/>
      <c r="CX63" s="25"/>
      <c r="CY63" s="25"/>
      <c r="CZ63" s="25"/>
      <c r="DA63" s="25"/>
      <c r="DB63" s="25"/>
      <c r="DC63" s="25"/>
      <c r="DD63" s="25"/>
      <c r="DE63" s="25"/>
      <c r="DF63" s="25"/>
      <c r="DG63" s="25"/>
      <c r="DH63" s="25"/>
      <c r="DI63" s="25"/>
      <c r="DJ63" s="25"/>
      <c r="DK63" s="25"/>
      <c r="DL63" s="25"/>
      <c r="DM63" s="25"/>
      <c r="DN63" s="25"/>
      <c r="DO63" s="25"/>
      <c r="DP63" s="25"/>
      <c r="DQ63" s="25"/>
      <c r="DR63" s="25"/>
      <c r="DS63" s="25"/>
      <c r="DT63" s="25"/>
      <c r="DU63" s="25"/>
      <c r="DV63" s="25"/>
      <c r="DW63" s="25"/>
      <c r="DX63" s="25"/>
      <c r="DY63" s="25"/>
      <c r="DZ63" s="25"/>
      <c r="EA63" s="25"/>
      <c r="EB63" s="25"/>
      <c r="EC63" s="25"/>
      <c r="ED63" s="25"/>
      <c r="EE63" s="25"/>
      <c r="EF63" s="25"/>
      <c r="EG63" s="25"/>
      <c r="EH63" s="25"/>
      <c r="EI63" s="25"/>
      <c r="EJ63" s="25"/>
      <c r="EK63" s="25"/>
      <c r="EL63" s="25"/>
      <c r="EM63" s="25"/>
      <c r="EN63" s="25"/>
      <c r="EO63" s="25"/>
      <c r="EP63" s="25"/>
      <c r="EQ63" s="25"/>
      <c r="ER63" s="25"/>
      <c r="ES63" s="25"/>
      <c r="ET63" s="25"/>
    </row>
    <row r="64" spans="1:150" x14ac:dyDescent="0.25">
      <c r="B64" s="20"/>
      <c r="C64" s="20"/>
      <c r="D64" s="20"/>
      <c r="E64" s="20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25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BZ64" s="25"/>
      <c r="CA64" s="25"/>
      <c r="CB64" s="25"/>
      <c r="CC64" s="25"/>
      <c r="CD64" s="25"/>
      <c r="CE64" s="25"/>
      <c r="CF64" s="25"/>
      <c r="CG64" s="25"/>
      <c r="CH64" s="25"/>
      <c r="CI64" s="25"/>
      <c r="CJ64" s="25"/>
      <c r="CK64" s="25"/>
      <c r="CL64" s="25"/>
      <c r="CM64" s="25"/>
      <c r="CN64" s="25"/>
      <c r="CO64" s="25"/>
      <c r="CP64" s="25"/>
      <c r="CQ64" s="25"/>
      <c r="CR64" s="25"/>
      <c r="CS64" s="25"/>
      <c r="CT64" s="25"/>
      <c r="CU64" s="25"/>
      <c r="CV64" s="25"/>
      <c r="CW64" s="25"/>
      <c r="CX64" s="25"/>
      <c r="CY64" s="25"/>
      <c r="CZ64" s="25"/>
      <c r="DA64" s="25"/>
      <c r="DB64" s="25"/>
      <c r="DC64" s="25"/>
      <c r="DD64" s="25"/>
      <c r="DE64" s="25"/>
      <c r="DF64" s="25"/>
      <c r="DG64" s="25"/>
      <c r="DH64" s="25"/>
      <c r="DI64" s="25"/>
      <c r="DJ64" s="25"/>
      <c r="DK64" s="25"/>
      <c r="DL64" s="25"/>
      <c r="DM64" s="25"/>
      <c r="DN64" s="25"/>
      <c r="DO64" s="25"/>
      <c r="DP64" s="25"/>
      <c r="DQ64" s="25"/>
      <c r="DR64" s="25"/>
      <c r="DS64" s="25"/>
      <c r="DT64" s="25"/>
      <c r="DU64" s="25"/>
      <c r="DV64" s="25"/>
      <c r="DW64" s="25"/>
      <c r="DX64" s="25"/>
      <c r="DY64" s="25"/>
      <c r="DZ64" s="25"/>
      <c r="EA64" s="25"/>
      <c r="EB64" s="25"/>
      <c r="EC64" s="25"/>
      <c r="ED64" s="25"/>
      <c r="EE64" s="25"/>
      <c r="EF64" s="25"/>
      <c r="EG64" s="25"/>
      <c r="EH64" s="25"/>
      <c r="EI64" s="25"/>
      <c r="EJ64" s="25"/>
      <c r="EK64" s="25"/>
      <c r="EL64" s="25"/>
      <c r="EM64" s="25"/>
      <c r="EN64" s="25"/>
      <c r="EO64" s="25"/>
      <c r="EP64" s="25"/>
      <c r="EQ64" s="25"/>
      <c r="ER64" s="25"/>
      <c r="ES64" s="25"/>
      <c r="ET64" s="25"/>
    </row>
    <row r="65" spans="9:150" x14ac:dyDescent="0.25"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25"/>
      <c r="BJ65" s="25"/>
      <c r="BK65" s="25"/>
      <c r="BL65" s="25"/>
      <c r="BM65" s="25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BZ65" s="25"/>
      <c r="CA65" s="25"/>
      <c r="CB65" s="25"/>
      <c r="CC65" s="25"/>
      <c r="CD65" s="25"/>
      <c r="CE65" s="25"/>
      <c r="CF65" s="25"/>
      <c r="CG65" s="25"/>
      <c r="CH65" s="25"/>
      <c r="CI65" s="25"/>
      <c r="CJ65" s="25"/>
      <c r="CK65" s="25"/>
      <c r="CL65" s="25"/>
      <c r="CM65" s="25"/>
      <c r="CN65" s="25"/>
      <c r="CO65" s="25"/>
      <c r="CP65" s="25"/>
      <c r="CQ65" s="25"/>
      <c r="CR65" s="25"/>
      <c r="CS65" s="25"/>
      <c r="CT65" s="25"/>
      <c r="CU65" s="25"/>
      <c r="CV65" s="25"/>
      <c r="CW65" s="25"/>
      <c r="CX65" s="25"/>
      <c r="CY65" s="25"/>
      <c r="CZ65" s="25"/>
      <c r="DA65" s="25"/>
      <c r="DB65" s="25"/>
      <c r="DC65" s="25"/>
      <c r="DD65" s="25"/>
      <c r="DE65" s="25"/>
      <c r="DF65" s="25"/>
      <c r="DG65" s="25"/>
      <c r="DH65" s="25"/>
      <c r="DI65" s="25"/>
      <c r="DJ65" s="25"/>
      <c r="DK65" s="25"/>
      <c r="DL65" s="25"/>
      <c r="DM65" s="25"/>
      <c r="DN65" s="25"/>
      <c r="DO65" s="25"/>
      <c r="DP65" s="25"/>
      <c r="DQ65" s="25"/>
      <c r="DR65" s="25"/>
      <c r="DS65" s="25"/>
      <c r="DT65" s="25"/>
      <c r="DU65" s="25"/>
      <c r="DV65" s="25"/>
      <c r="DW65" s="25"/>
      <c r="DX65" s="25"/>
      <c r="DY65" s="25"/>
      <c r="DZ65" s="25"/>
      <c r="EA65" s="25"/>
      <c r="EB65" s="25"/>
      <c r="EC65" s="25"/>
      <c r="ED65" s="25"/>
      <c r="EE65" s="25"/>
      <c r="EF65" s="25"/>
      <c r="EG65" s="25"/>
      <c r="EH65" s="25"/>
      <c r="EI65" s="25"/>
      <c r="EJ65" s="25"/>
      <c r="EK65" s="25"/>
      <c r="EL65" s="25"/>
      <c r="EM65" s="25"/>
      <c r="EN65" s="25"/>
      <c r="EO65" s="25"/>
      <c r="EP65" s="25"/>
      <c r="EQ65" s="25"/>
      <c r="ER65" s="25"/>
      <c r="ES65" s="25"/>
      <c r="ET65" s="25"/>
    </row>
    <row r="66" spans="9:150" x14ac:dyDescent="0.25"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  <c r="BF66" s="25"/>
      <c r="BG66" s="25"/>
      <c r="BH66" s="25"/>
      <c r="BI66" s="25"/>
      <c r="BJ66" s="25"/>
      <c r="BK66" s="25"/>
      <c r="BL66" s="25"/>
      <c r="BM66" s="25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BZ66" s="25"/>
      <c r="CA66" s="25"/>
      <c r="CB66" s="25"/>
      <c r="CC66" s="25"/>
      <c r="CD66" s="25"/>
      <c r="CE66" s="25"/>
      <c r="CF66" s="25"/>
      <c r="CG66" s="25"/>
      <c r="CH66" s="25"/>
      <c r="CI66" s="25"/>
      <c r="CJ66" s="25"/>
      <c r="CK66" s="25"/>
      <c r="CL66" s="25"/>
      <c r="CM66" s="25"/>
      <c r="CN66" s="25"/>
      <c r="CO66" s="25"/>
      <c r="CP66" s="25"/>
      <c r="CQ66" s="25"/>
      <c r="CR66" s="25"/>
      <c r="CS66" s="25"/>
      <c r="CT66" s="25"/>
      <c r="CU66" s="25"/>
      <c r="CV66" s="25"/>
      <c r="CW66" s="25"/>
      <c r="CX66" s="25"/>
      <c r="CY66" s="25"/>
      <c r="CZ66" s="25"/>
      <c r="DA66" s="25"/>
      <c r="DB66" s="25"/>
      <c r="DC66" s="25"/>
      <c r="DD66" s="25"/>
      <c r="DE66" s="25"/>
      <c r="DF66" s="25"/>
      <c r="DG66" s="25"/>
      <c r="DH66" s="25"/>
      <c r="DI66" s="25"/>
      <c r="DJ66" s="25"/>
      <c r="DK66" s="25"/>
      <c r="DL66" s="25"/>
      <c r="DM66" s="25"/>
      <c r="DN66" s="25"/>
      <c r="DO66" s="25"/>
      <c r="DP66" s="25"/>
      <c r="DQ66" s="25"/>
      <c r="DR66" s="25"/>
      <c r="DS66" s="25"/>
      <c r="DT66" s="25"/>
      <c r="DU66" s="25"/>
      <c r="DV66" s="25"/>
      <c r="DW66" s="25"/>
      <c r="DX66" s="25"/>
      <c r="DY66" s="25"/>
      <c r="DZ66" s="25"/>
      <c r="EA66" s="25"/>
      <c r="EB66" s="25"/>
      <c r="EC66" s="25"/>
      <c r="ED66" s="25"/>
      <c r="EE66" s="25"/>
      <c r="EF66" s="25"/>
      <c r="EG66" s="25"/>
      <c r="EH66" s="25"/>
      <c r="EI66" s="25"/>
      <c r="EJ66" s="25"/>
      <c r="EK66" s="25"/>
      <c r="EL66" s="25"/>
      <c r="EM66" s="25"/>
      <c r="EN66" s="25"/>
      <c r="EO66" s="25"/>
      <c r="EP66" s="25"/>
      <c r="EQ66" s="25"/>
      <c r="ER66" s="25"/>
      <c r="ES66" s="25"/>
      <c r="ET66" s="25"/>
    </row>
    <row r="67" spans="9:150" x14ac:dyDescent="0.25"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  <c r="BF67" s="25"/>
      <c r="BG67" s="25"/>
      <c r="BH67" s="25"/>
      <c r="BI67" s="25"/>
      <c r="BJ67" s="25"/>
      <c r="BK67" s="25"/>
      <c r="BL67" s="25"/>
      <c r="BM67" s="25"/>
      <c r="BN67" s="25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BZ67" s="25"/>
      <c r="CA67" s="25"/>
      <c r="CB67" s="25"/>
      <c r="CC67" s="25"/>
      <c r="CD67" s="25"/>
      <c r="CE67" s="25"/>
      <c r="CF67" s="25"/>
      <c r="CG67" s="25"/>
      <c r="CH67" s="25"/>
      <c r="CI67" s="25"/>
      <c r="CJ67" s="25"/>
      <c r="CK67" s="25"/>
      <c r="CL67" s="25"/>
      <c r="CM67" s="25"/>
      <c r="CN67" s="25"/>
      <c r="CO67" s="25"/>
      <c r="CP67" s="25"/>
      <c r="CQ67" s="25"/>
      <c r="CR67" s="25"/>
      <c r="CS67" s="25"/>
      <c r="CT67" s="25"/>
      <c r="CU67" s="25"/>
      <c r="CV67" s="25"/>
      <c r="CW67" s="25"/>
      <c r="CX67" s="25"/>
      <c r="CY67" s="25"/>
      <c r="CZ67" s="25"/>
      <c r="DA67" s="25"/>
      <c r="DB67" s="25"/>
      <c r="DC67" s="25"/>
      <c r="DD67" s="25"/>
      <c r="DE67" s="25"/>
      <c r="DF67" s="25"/>
      <c r="DG67" s="25"/>
      <c r="DH67" s="25"/>
      <c r="DI67" s="25"/>
      <c r="DJ67" s="25"/>
      <c r="DK67" s="25"/>
      <c r="DL67" s="25"/>
      <c r="DM67" s="25"/>
      <c r="DN67" s="25"/>
      <c r="DO67" s="25"/>
      <c r="DP67" s="25"/>
      <c r="DQ67" s="25"/>
      <c r="DR67" s="25"/>
      <c r="DS67" s="25"/>
      <c r="DT67" s="25"/>
      <c r="DU67" s="25"/>
      <c r="DV67" s="25"/>
      <c r="DW67" s="25"/>
      <c r="DX67" s="25"/>
      <c r="DY67" s="25"/>
      <c r="DZ67" s="25"/>
      <c r="EA67" s="25"/>
      <c r="EB67" s="25"/>
      <c r="EC67" s="25"/>
      <c r="ED67" s="25"/>
      <c r="EE67" s="25"/>
      <c r="EF67" s="25"/>
      <c r="EG67" s="25"/>
      <c r="EH67" s="25"/>
      <c r="EI67" s="25"/>
      <c r="EJ67" s="25"/>
      <c r="EK67" s="25"/>
      <c r="EL67" s="25"/>
      <c r="EM67" s="25"/>
      <c r="EN67" s="25"/>
      <c r="EO67" s="25"/>
      <c r="EP67" s="25"/>
      <c r="EQ67" s="25"/>
      <c r="ER67" s="25"/>
      <c r="ES67" s="25"/>
      <c r="ET67" s="25"/>
    </row>
    <row r="68" spans="9:150" x14ac:dyDescent="0.25"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  <c r="BK68" s="25"/>
      <c r="BL68" s="25"/>
      <c r="BM68" s="25"/>
      <c r="BN68" s="25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BZ68" s="25"/>
      <c r="CA68" s="25"/>
      <c r="CB68" s="25"/>
      <c r="CC68" s="25"/>
      <c r="CD68" s="25"/>
      <c r="CE68" s="25"/>
      <c r="CF68" s="25"/>
      <c r="CG68" s="25"/>
      <c r="CH68" s="25"/>
      <c r="CI68" s="25"/>
      <c r="CJ68" s="25"/>
      <c r="CK68" s="25"/>
      <c r="CL68" s="25"/>
      <c r="CM68" s="25"/>
      <c r="CN68" s="25"/>
      <c r="CO68" s="25"/>
      <c r="CP68" s="25"/>
      <c r="CQ68" s="25"/>
      <c r="CR68" s="25"/>
      <c r="CS68" s="25"/>
      <c r="CT68" s="25"/>
      <c r="CU68" s="25"/>
      <c r="CV68" s="25"/>
      <c r="CW68" s="25"/>
      <c r="CX68" s="25"/>
      <c r="CY68" s="25"/>
      <c r="CZ68" s="25"/>
      <c r="DA68" s="25"/>
      <c r="DB68" s="25"/>
      <c r="DC68" s="25"/>
      <c r="DD68" s="25"/>
      <c r="DE68" s="25"/>
      <c r="DF68" s="25"/>
      <c r="DG68" s="25"/>
      <c r="DH68" s="25"/>
      <c r="DI68" s="25"/>
      <c r="DJ68" s="25"/>
      <c r="DK68" s="25"/>
      <c r="DL68" s="25"/>
      <c r="DM68" s="25"/>
      <c r="DN68" s="25"/>
      <c r="DO68" s="25"/>
      <c r="DP68" s="25"/>
      <c r="DQ68" s="25"/>
      <c r="DR68" s="25"/>
      <c r="DS68" s="25"/>
      <c r="DT68" s="25"/>
      <c r="DU68" s="25"/>
      <c r="DV68" s="25"/>
      <c r="DW68" s="25"/>
      <c r="DX68" s="25"/>
      <c r="DY68" s="25"/>
      <c r="DZ68" s="25"/>
      <c r="EA68" s="25"/>
      <c r="EB68" s="25"/>
      <c r="EC68" s="25"/>
      <c r="ED68" s="25"/>
      <c r="EE68" s="25"/>
      <c r="EF68" s="25"/>
      <c r="EG68" s="25"/>
      <c r="EH68" s="25"/>
      <c r="EI68" s="25"/>
      <c r="EJ68" s="25"/>
      <c r="EK68" s="25"/>
      <c r="EL68" s="25"/>
      <c r="EM68" s="25"/>
      <c r="EN68" s="25"/>
      <c r="EO68" s="25"/>
      <c r="EP68" s="25"/>
      <c r="EQ68" s="25"/>
      <c r="ER68" s="25"/>
      <c r="ES68" s="25"/>
      <c r="ET68" s="25"/>
    </row>
    <row r="69" spans="9:150" x14ac:dyDescent="0.25"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  <c r="BF69" s="25"/>
      <c r="BG69" s="25"/>
      <c r="BH69" s="25"/>
      <c r="BI69" s="25"/>
      <c r="BJ69" s="25"/>
      <c r="BK69" s="25"/>
      <c r="BL69" s="25"/>
      <c r="BM69" s="25"/>
      <c r="BN69" s="25"/>
      <c r="BO69" s="25"/>
      <c r="BP69" s="25"/>
      <c r="BQ69" s="25"/>
      <c r="BR69" s="25"/>
      <c r="BS69" s="25"/>
      <c r="BT69" s="25"/>
      <c r="BU69" s="25"/>
      <c r="BV69" s="25"/>
      <c r="BW69" s="25"/>
      <c r="BX69" s="25"/>
      <c r="BY69" s="25"/>
      <c r="BZ69" s="25"/>
      <c r="CA69" s="25"/>
      <c r="CB69" s="25"/>
      <c r="CC69" s="25"/>
      <c r="CD69" s="25"/>
      <c r="CE69" s="25"/>
      <c r="CF69" s="25"/>
      <c r="CG69" s="25"/>
      <c r="CH69" s="25"/>
      <c r="CI69" s="25"/>
      <c r="CJ69" s="25"/>
      <c r="CK69" s="25"/>
      <c r="CL69" s="25"/>
      <c r="CM69" s="25"/>
      <c r="CN69" s="25"/>
      <c r="CO69" s="25"/>
      <c r="CP69" s="25"/>
      <c r="CQ69" s="25"/>
      <c r="CR69" s="25"/>
      <c r="CS69" s="25"/>
      <c r="CT69" s="25"/>
      <c r="CU69" s="25"/>
      <c r="CV69" s="25"/>
      <c r="CW69" s="25"/>
      <c r="CX69" s="25"/>
      <c r="CY69" s="25"/>
      <c r="CZ69" s="25"/>
      <c r="DA69" s="25"/>
      <c r="DB69" s="25"/>
      <c r="DC69" s="25"/>
      <c r="DD69" s="25"/>
      <c r="DE69" s="25"/>
      <c r="DF69" s="25"/>
      <c r="DG69" s="25"/>
      <c r="DH69" s="25"/>
      <c r="DI69" s="25"/>
      <c r="DJ69" s="25"/>
      <c r="DK69" s="25"/>
      <c r="DL69" s="25"/>
      <c r="DM69" s="25"/>
      <c r="DN69" s="25"/>
      <c r="DO69" s="25"/>
      <c r="DP69" s="25"/>
      <c r="DQ69" s="25"/>
      <c r="DR69" s="25"/>
      <c r="DS69" s="25"/>
      <c r="DT69" s="25"/>
      <c r="DU69" s="25"/>
      <c r="DV69" s="25"/>
      <c r="DW69" s="25"/>
      <c r="DX69" s="25"/>
      <c r="DY69" s="25"/>
      <c r="DZ69" s="25"/>
      <c r="EA69" s="25"/>
      <c r="EB69" s="25"/>
      <c r="EC69" s="25"/>
      <c r="ED69" s="25"/>
      <c r="EE69" s="25"/>
      <c r="EF69" s="25"/>
      <c r="EG69" s="25"/>
      <c r="EH69" s="25"/>
      <c r="EI69" s="25"/>
      <c r="EJ69" s="25"/>
      <c r="EK69" s="25"/>
      <c r="EL69" s="25"/>
      <c r="EM69" s="25"/>
      <c r="EN69" s="25"/>
      <c r="EO69" s="25"/>
      <c r="EP69" s="25"/>
      <c r="EQ69" s="25"/>
      <c r="ER69" s="25"/>
      <c r="ES69" s="25"/>
      <c r="ET69" s="25"/>
    </row>
    <row r="70" spans="9:150" x14ac:dyDescent="0.25"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  <c r="BF70" s="25"/>
      <c r="BG70" s="25"/>
      <c r="BH70" s="25"/>
      <c r="BI70" s="25"/>
      <c r="BJ70" s="25"/>
      <c r="BK70" s="25"/>
      <c r="BL70" s="25"/>
      <c r="BM70" s="25"/>
      <c r="BN70" s="25"/>
      <c r="BO70" s="25"/>
      <c r="BP70" s="25"/>
      <c r="BQ70" s="25"/>
      <c r="BR70" s="25"/>
      <c r="BS70" s="25"/>
      <c r="BT70" s="25"/>
      <c r="BU70" s="25"/>
      <c r="BV70" s="25"/>
      <c r="BW70" s="25"/>
      <c r="BX70" s="25"/>
      <c r="BY70" s="25"/>
      <c r="BZ70" s="25"/>
      <c r="CA70" s="25"/>
      <c r="CB70" s="25"/>
      <c r="CC70" s="25"/>
      <c r="CD70" s="25"/>
      <c r="CE70" s="25"/>
      <c r="CF70" s="25"/>
      <c r="CG70" s="25"/>
      <c r="CH70" s="25"/>
      <c r="CI70" s="25"/>
      <c r="CJ70" s="25"/>
      <c r="CK70" s="25"/>
      <c r="CL70" s="25"/>
      <c r="CM70" s="25"/>
      <c r="CN70" s="25"/>
      <c r="CO70" s="25"/>
      <c r="CP70" s="25"/>
      <c r="CQ70" s="25"/>
      <c r="CR70" s="25"/>
      <c r="CS70" s="25"/>
      <c r="CT70" s="25"/>
      <c r="CU70" s="25"/>
      <c r="CV70" s="25"/>
      <c r="CW70" s="25"/>
      <c r="CX70" s="25"/>
      <c r="CY70" s="25"/>
      <c r="CZ70" s="25"/>
      <c r="DA70" s="25"/>
      <c r="DB70" s="25"/>
      <c r="DC70" s="25"/>
      <c r="DD70" s="25"/>
      <c r="DE70" s="25"/>
      <c r="DF70" s="25"/>
      <c r="DG70" s="25"/>
      <c r="DH70" s="25"/>
      <c r="DI70" s="25"/>
      <c r="DJ70" s="25"/>
      <c r="DK70" s="25"/>
      <c r="DL70" s="25"/>
      <c r="DM70" s="25"/>
      <c r="DN70" s="25"/>
      <c r="DO70" s="25"/>
      <c r="DP70" s="25"/>
      <c r="DQ70" s="25"/>
      <c r="DR70" s="25"/>
      <c r="DS70" s="25"/>
      <c r="DT70" s="25"/>
      <c r="DU70" s="25"/>
      <c r="DV70" s="25"/>
      <c r="DW70" s="25"/>
      <c r="DX70" s="25"/>
      <c r="DY70" s="25"/>
      <c r="DZ70" s="25"/>
      <c r="EA70" s="25"/>
      <c r="EB70" s="25"/>
      <c r="EC70" s="25"/>
      <c r="ED70" s="25"/>
      <c r="EE70" s="25"/>
      <c r="EF70" s="25"/>
      <c r="EG70" s="25"/>
      <c r="EH70" s="25"/>
      <c r="EI70" s="25"/>
      <c r="EJ70" s="25"/>
      <c r="EK70" s="25"/>
      <c r="EL70" s="25"/>
      <c r="EM70" s="25"/>
      <c r="EN70" s="25"/>
      <c r="EO70" s="25"/>
      <c r="EP70" s="25"/>
      <c r="EQ70" s="25"/>
      <c r="ER70" s="25"/>
      <c r="ES70" s="25"/>
      <c r="ET70" s="25"/>
    </row>
    <row r="71" spans="9:150" x14ac:dyDescent="0.25"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  <c r="BF71" s="25"/>
      <c r="BG71" s="25"/>
      <c r="BH71" s="25"/>
      <c r="BI71" s="25"/>
      <c r="BJ71" s="25"/>
      <c r="BK71" s="25"/>
      <c r="BL71" s="25"/>
      <c r="BM71" s="25"/>
      <c r="BN71" s="25"/>
      <c r="BO71" s="25"/>
      <c r="BP71" s="25"/>
      <c r="BQ71" s="25"/>
      <c r="BR71" s="25"/>
      <c r="BS71" s="25"/>
      <c r="BT71" s="25"/>
      <c r="BU71" s="25"/>
      <c r="BV71" s="25"/>
      <c r="BW71" s="25"/>
      <c r="BX71" s="25"/>
      <c r="BY71" s="25"/>
      <c r="BZ71" s="25"/>
      <c r="CA71" s="25"/>
      <c r="CB71" s="25"/>
      <c r="CC71" s="25"/>
      <c r="CD71" s="25"/>
      <c r="CE71" s="25"/>
      <c r="CF71" s="25"/>
      <c r="CG71" s="25"/>
      <c r="CH71" s="25"/>
      <c r="CI71" s="25"/>
      <c r="CJ71" s="25"/>
      <c r="CK71" s="25"/>
      <c r="CL71" s="25"/>
      <c r="CM71" s="25"/>
      <c r="CN71" s="25"/>
      <c r="CO71" s="25"/>
      <c r="CP71" s="25"/>
      <c r="CQ71" s="25"/>
      <c r="CR71" s="25"/>
      <c r="CS71" s="25"/>
      <c r="CT71" s="25"/>
      <c r="CU71" s="25"/>
      <c r="CV71" s="25"/>
      <c r="CW71" s="25"/>
      <c r="CX71" s="25"/>
      <c r="CY71" s="25"/>
      <c r="CZ71" s="25"/>
      <c r="DA71" s="25"/>
      <c r="DB71" s="25"/>
      <c r="DC71" s="25"/>
      <c r="DD71" s="25"/>
      <c r="DE71" s="25"/>
      <c r="DF71" s="25"/>
      <c r="DG71" s="25"/>
      <c r="DH71" s="25"/>
      <c r="DI71" s="25"/>
      <c r="DJ71" s="25"/>
      <c r="DK71" s="25"/>
      <c r="DL71" s="25"/>
      <c r="DM71" s="25"/>
      <c r="DN71" s="25"/>
      <c r="DO71" s="25"/>
      <c r="DP71" s="25"/>
      <c r="DQ71" s="25"/>
      <c r="DR71" s="25"/>
      <c r="DS71" s="25"/>
      <c r="DT71" s="25"/>
      <c r="DU71" s="25"/>
      <c r="DV71" s="25"/>
      <c r="DW71" s="25"/>
      <c r="DX71" s="25"/>
      <c r="DY71" s="25"/>
      <c r="DZ71" s="25"/>
      <c r="EA71" s="25"/>
      <c r="EB71" s="25"/>
      <c r="EC71" s="25"/>
      <c r="ED71" s="25"/>
      <c r="EE71" s="25"/>
      <c r="EF71" s="25"/>
      <c r="EG71" s="25"/>
      <c r="EH71" s="25"/>
      <c r="EI71" s="25"/>
      <c r="EJ71" s="25"/>
      <c r="EK71" s="25"/>
      <c r="EL71" s="25"/>
      <c r="EM71" s="25"/>
      <c r="EN71" s="25"/>
      <c r="EO71" s="25"/>
      <c r="EP71" s="25"/>
      <c r="EQ71" s="25"/>
      <c r="ER71" s="25"/>
      <c r="ES71" s="25"/>
      <c r="ET71" s="25"/>
    </row>
    <row r="72" spans="9:150" x14ac:dyDescent="0.25"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  <c r="BF72" s="25"/>
      <c r="BG72" s="25"/>
      <c r="BH72" s="25"/>
      <c r="BI72" s="25"/>
      <c r="BJ72" s="25"/>
      <c r="BK72" s="25"/>
      <c r="BL72" s="25"/>
      <c r="BM72" s="25"/>
      <c r="BN72" s="25"/>
      <c r="BO72" s="25"/>
      <c r="BP72" s="25"/>
      <c r="BQ72" s="25"/>
      <c r="BR72" s="25"/>
      <c r="BS72" s="25"/>
      <c r="BT72" s="25"/>
      <c r="BU72" s="25"/>
      <c r="BV72" s="25"/>
      <c r="BW72" s="25"/>
      <c r="BX72" s="25"/>
      <c r="BY72" s="25"/>
      <c r="BZ72" s="25"/>
      <c r="CA72" s="25"/>
      <c r="CB72" s="25"/>
      <c r="CC72" s="25"/>
      <c r="CD72" s="25"/>
      <c r="CE72" s="25"/>
      <c r="CF72" s="25"/>
      <c r="CG72" s="25"/>
      <c r="CH72" s="25"/>
      <c r="CI72" s="25"/>
      <c r="CJ72" s="25"/>
      <c r="CK72" s="25"/>
      <c r="CL72" s="25"/>
      <c r="CM72" s="25"/>
      <c r="CN72" s="25"/>
      <c r="CO72" s="25"/>
      <c r="CP72" s="25"/>
      <c r="CQ72" s="25"/>
      <c r="CR72" s="25"/>
      <c r="CS72" s="25"/>
      <c r="CT72" s="25"/>
      <c r="CU72" s="25"/>
      <c r="CV72" s="25"/>
      <c r="CW72" s="25"/>
      <c r="CX72" s="25"/>
      <c r="CY72" s="25"/>
      <c r="CZ72" s="25"/>
      <c r="DA72" s="25"/>
      <c r="DB72" s="25"/>
      <c r="DC72" s="25"/>
      <c r="DD72" s="25"/>
      <c r="DE72" s="25"/>
      <c r="DF72" s="25"/>
      <c r="DG72" s="25"/>
      <c r="DH72" s="25"/>
      <c r="DI72" s="25"/>
      <c r="DJ72" s="25"/>
      <c r="DK72" s="25"/>
      <c r="DL72" s="25"/>
      <c r="DM72" s="25"/>
      <c r="DN72" s="25"/>
      <c r="DO72" s="25"/>
      <c r="DP72" s="25"/>
      <c r="DQ72" s="25"/>
      <c r="DR72" s="25"/>
      <c r="DS72" s="25"/>
      <c r="DT72" s="25"/>
      <c r="DU72" s="25"/>
      <c r="DV72" s="25"/>
      <c r="DW72" s="25"/>
      <c r="DX72" s="25"/>
      <c r="DY72" s="25"/>
      <c r="DZ72" s="25"/>
      <c r="EA72" s="25"/>
      <c r="EB72" s="25"/>
      <c r="EC72" s="25"/>
      <c r="ED72" s="25"/>
      <c r="EE72" s="25"/>
      <c r="EF72" s="25"/>
      <c r="EG72" s="25"/>
      <c r="EH72" s="25"/>
      <c r="EI72" s="25"/>
      <c r="EJ72" s="25"/>
      <c r="EK72" s="25"/>
      <c r="EL72" s="25"/>
      <c r="EM72" s="25"/>
      <c r="EN72" s="25"/>
      <c r="EO72" s="25"/>
      <c r="EP72" s="25"/>
      <c r="EQ72" s="25"/>
      <c r="ER72" s="25"/>
      <c r="ES72" s="25"/>
      <c r="ET72" s="25"/>
    </row>
    <row r="73" spans="9:150" x14ac:dyDescent="0.25"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  <c r="BK73" s="25"/>
      <c r="BL73" s="25"/>
      <c r="BM73" s="25"/>
      <c r="BN73" s="25"/>
      <c r="BO73" s="25"/>
      <c r="BP73" s="25"/>
      <c r="BQ73" s="25"/>
      <c r="BR73" s="25"/>
      <c r="BS73" s="25"/>
      <c r="BT73" s="25"/>
      <c r="BU73" s="25"/>
      <c r="BV73" s="25"/>
      <c r="BW73" s="25"/>
      <c r="BX73" s="25"/>
      <c r="BY73" s="25"/>
      <c r="BZ73" s="25"/>
      <c r="CA73" s="25"/>
      <c r="CB73" s="25"/>
      <c r="CC73" s="25"/>
      <c r="CD73" s="25"/>
      <c r="CE73" s="25"/>
      <c r="CF73" s="25"/>
      <c r="CG73" s="25"/>
      <c r="CH73" s="25"/>
      <c r="CI73" s="25"/>
      <c r="CJ73" s="25"/>
      <c r="CK73" s="25"/>
      <c r="CL73" s="25"/>
      <c r="CM73" s="25"/>
      <c r="CN73" s="25"/>
      <c r="CO73" s="25"/>
      <c r="CP73" s="25"/>
      <c r="CQ73" s="25"/>
      <c r="CR73" s="25"/>
      <c r="CS73" s="25"/>
      <c r="CT73" s="25"/>
      <c r="CU73" s="25"/>
      <c r="CV73" s="25"/>
      <c r="CW73" s="25"/>
      <c r="CX73" s="25"/>
      <c r="CY73" s="25"/>
      <c r="CZ73" s="25"/>
      <c r="DA73" s="25"/>
      <c r="DB73" s="25"/>
      <c r="DC73" s="25"/>
      <c r="DD73" s="25"/>
      <c r="DE73" s="25"/>
      <c r="DF73" s="25"/>
      <c r="DG73" s="25"/>
      <c r="DH73" s="25"/>
      <c r="DI73" s="25"/>
      <c r="DJ73" s="25"/>
      <c r="DK73" s="25"/>
      <c r="DL73" s="25"/>
      <c r="DM73" s="25"/>
      <c r="DN73" s="25"/>
      <c r="DO73" s="25"/>
      <c r="DP73" s="25"/>
      <c r="DQ73" s="25"/>
      <c r="DR73" s="25"/>
      <c r="DS73" s="25"/>
      <c r="DT73" s="25"/>
      <c r="DU73" s="25"/>
      <c r="DV73" s="25"/>
      <c r="DW73" s="25"/>
      <c r="DX73" s="25"/>
      <c r="DY73" s="25"/>
      <c r="DZ73" s="25"/>
      <c r="EA73" s="25"/>
      <c r="EB73" s="25"/>
      <c r="EC73" s="25"/>
      <c r="ED73" s="25"/>
      <c r="EE73" s="25"/>
      <c r="EF73" s="25"/>
      <c r="EG73" s="25"/>
      <c r="EH73" s="25"/>
      <c r="EI73" s="25"/>
      <c r="EJ73" s="25"/>
      <c r="EK73" s="25"/>
      <c r="EL73" s="25"/>
      <c r="EM73" s="25"/>
      <c r="EN73" s="25"/>
      <c r="EO73" s="25"/>
      <c r="EP73" s="25"/>
      <c r="EQ73" s="25"/>
      <c r="ER73" s="25"/>
      <c r="ES73" s="25"/>
      <c r="ET73" s="25"/>
    </row>
    <row r="74" spans="9:150" x14ac:dyDescent="0.25"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  <c r="BS74" s="25"/>
      <c r="BT74" s="25"/>
      <c r="BU74" s="25"/>
      <c r="BV74" s="25"/>
      <c r="BW74" s="25"/>
      <c r="BX74" s="25"/>
      <c r="BY74" s="25"/>
      <c r="BZ74" s="25"/>
      <c r="CA74" s="25"/>
      <c r="CB74" s="25"/>
      <c r="CC74" s="25"/>
      <c r="CD74" s="25"/>
      <c r="CE74" s="25"/>
      <c r="CF74" s="25"/>
      <c r="CG74" s="25"/>
      <c r="CH74" s="25"/>
      <c r="CI74" s="25"/>
      <c r="CJ74" s="25"/>
      <c r="CK74" s="25"/>
      <c r="CL74" s="25"/>
      <c r="CM74" s="25"/>
      <c r="CN74" s="25"/>
      <c r="CO74" s="25"/>
      <c r="CP74" s="25"/>
      <c r="CQ74" s="25"/>
      <c r="CR74" s="25"/>
      <c r="CS74" s="25"/>
      <c r="CT74" s="25"/>
      <c r="CU74" s="25"/>
      <c r="CV74" s="25"/>
      <c r="CW74" s="25"/>
      <c r="CX74" s="25"/>
      <c r="CY74" s="25"/>
      <c r="CZ74" s="25"/>
      <c r="DA74" s="25"/>
      <c r="DB74" s="25"/>
      <c r="DC74" s="25"/>
      <c r="DD74" s="25"/>
      <c r="DE74" s="25"/>
      <c r="DF74" s="25"/>
      <c r="DG74" s="25"/>
      <c r="DH74" s="25"/>
      <c r="DI74" s="25"/>
      <c r="DJ74" s="25"/>
      <c r="DK74" s="25"/>
      <c r="DL74" s="25"/>
      <c r="DM74" s="25"/>
      <c r="DN74" s="25"/>
      <c r="DO74" s="25"/>
      <c r="DP74" s="25"/>
      <c r="DQ74" s="25"/>
      <c r="DR74" s="25"/>
      <c r="DS74" s="25"/>
      <c r="DT74" s="25"/>
      <c r="DU74" s="25"/>
      <c r="DV74" s="25"/>
      <c r="DW74" s="25"/>
      <c r="DX74" s="25"/>
      <c r="DY74" s="25"/>
      <c r="DZ74" s="25"/>
      <c r="EA74" s="25"/>
      <c r="EB74" s="25"/>
      <c r="EC74" s="25"/>
      <c r="ED74" s="25"/>
      <c r="EE74" s="25"/>
      <c r="EF74" s="25"/>
      <c r="EG74" s="25"/>
      <c r="EH74" s="25"/>
      <c r="EI74" s="25"/>
      <c r="EJ74" s="25"/>
      <c r="EK74" s="25"/>
      <c r="EL74" s="25"/>
      <c r="EM74" s="25"/>
      <c r="EN74" s="25"/>
      <c r="EO74" s="25"/>
      <c r="EP74" s="25"/>
      <c r="EQ74" s="25"/>
      <c r="ER74" s="25"/>
      <c r="ES74" s="25"/>
      <c r="ET74" s="25"/>
    </row>
    <row r="75" spans="9:150" x14ac:dyDescent="0.25"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  <c r="BP75" s="25"/>
      <c r="BQ75" s="25"/>
      <c r="BR75" s="25"/>
      <c r="BS75" s="25"/>
      <c r="BT75" s="25"/>
      <c r="BU75" s="25"/>
      <c r="BV75" s="25"/>
      <c r="BW75" s="25"/>
      <c r="BX75" s="25"/>
      <c r="BY75" s="25"/>
      <c r="BZ75" s="25"/>
      <c r="CA75" s="25"/>
      <c r="CB75" s="25"/>
      <c r="CC75" s="25"/>
      <c r="CD75" s="25"/>
      <c r="CE75" s="25"/>
      <c r="CF75" s="25"/>
      <c r="CG75" s="25"/>
      <c r="CH75" s="25"/>
      <c r="CI75" s="25"/>
      <c r="CJ75" s="25"/>
      <c r="CK75" s="25"/>
      <c r="CL75" s="25"/>
      <c r="CM75" s="25"/>
      <c r="CN75" s="25"/>
      <c r="CO75" s="25"/>
      <c r="CP75" s="25"/>
      <c r="CQ75" s="25"/>
      <c r="CR75" s="25"/>
      <c r="CS75" s="25"/>
      <c r="CT75" s="25"/>
      <c r="CU75" s="25"/>
      <c r="CV75" s="25"/>
      <c r="CW75" s="25"/>
      <c r="CX75" s="25"/>
      <c r="CY75" s="25"/>
      <c r="CZ75" s="25"/>
      <c r="DA75" s="25"/>
      <c r="DB75" s="25"/>
      <c r="DC75" s="25"/>
      <c r="DD75" s="25"/>
      <c r="DE75" s="25"/>
      <c r="DF75" s="25"/>
      <c r="DG75" s="25"/>
      <c r="DH75" s="25"/>
      <c r="DI75" s="25"/>
      <c r="DJ75" s="25"/>
      <c r="DK75" s="25"/>
      <c r="DL75" s="25"/>
      <c r="DM75" s="25"/>
      <c r="DN75" s="25"/>
      <c r="DO75" s="25"/>
      <c r="DP75" s="25"/>
      <c r="DQ75" s="25"/>
      <c r="DR75" s="25"/>
      <c r="DS75" s="25"/>
      <c r="DT75" s="25"/>
      <c r="DU75" s="25"/>
      <c r="DV75" s="25"/>
      <c r="DW75" s="25"/>
      <c r="DX75" s="25"/>
      <c r="DY75" s="25"/>
      <c r="DZ75" s="25"/>
      <c r="EA75" s="25"/>
      <c r="EB75" s="25"/>
      <c r="EC75" s="25"/>
      <c r="ED75" s="25"/>
      <c r="EE75" s="25"/>
      <c r="EF75" s="25"/>
      <c r="EG75" s="25"/>
      <c r="EH75" s="25"/>
      <c r="EI75" s="25"/>
      <c r="EJ75" s="25"/>
      <c r="EK75" s="25"/>
      <c r="EL75" s="25"/>
      <c r="EM75" s="25"/>
      <c r="EN75" s="25"/>
      <c r="EO75" s="25"/>
      <c r="EP75" s="25"/>
      <c r="EQ75" s="25"/>
      <c r="ER75" s="25"/>
      <c r="ES75" s="25"/>
      <c r="ET75" s="25"/>
    </row>
    <row r="76" spans="9:150" x14ac:dyDescent="0.25"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  <c r="BF76" s="25"/>
      <c r="BG76" s="25"/>
      <c r="BH76" s="25"/>
      <c r="BI76" s="25"/>
      <c r="BJ76" s="25"/>
      <c r="BK76" s="25"/>
      <c r="BL76" s="25"/>
      <c r="BM76" s="25"/>
      <c r="BN76" s="25"/>
      <c r="BO76" s="25"/>
      <c r="BP76" s="25"/>
      <c r="BQ76" s="25"/>
      <c r="BR76" s="25"/>
      <c r="BS76" s="25"/>
      <c r="BT76" s="25"/>
      <c r="BU76" s="25"/>
      <c r="BV76" s="25"/>
      <c r="BW76" s="25"/>
      <c r="BX76" s="25"/>
      <c r="BY76" s="25"/>
      <c r="BZ76" s="25"/>
      <c r="CA76" s="25"/>
      <c r="CB76" s="25"/>
      <c r="CC76" s="25"/>
      <c r="CD76" s="25"/>
      <c r="CE76" s="25"/>
      <c r="CF76" s="25"/>
      <c r="CG76" s="25"/>
      <c r="CH76" s="25"/>
      <c r="CI76" s="25"/>
      <c r="CJ76" s="25"/>
      <c r="CK76" s="25"/>
      <c r="CL76" s="25"/>
      <c r="CM76" s="25"/>
      <c r="CN76" s="25"/>
      <c r="CO76" s="25"/>
      <c r="CP76" s="25"/>
      <c r="CQ76" s="25"/>
      <c r="CR76" s="25"/>
      <c r="CS76" s="25"/>
      <c r="CT76" s="25"/>
      <c r="CU76" s="25"/>
      <c r="CV76" s="25"/>
      <c r="CW76" s="25"/>
      <c r="CX76" s="25"/>
      <c r="CY76" s="25"/>
      <c r="CZ76" s="25"/>
      <c r="DA76" s="25"/>
      <c r="DB76" s="25"/>
      <c r="DC76" s="25"/>
      <c r="DD76" s="25"/>
      <c r="DE76" s="25"/>
      <c r="DF76" s="25"/>
      <c r="DG76" s="25"/>
      <c r="DH76" s="25"/>
      <c r="DI76" s="25"/>
      <c r="DJ76" s="25"/>
      <c r="DK76" s="25"/>
      <c r="DL76" s="25"/>
      <c r="DM76" s="25"/>
      <c r="DN76" s="25"/>
      <c r="DO76" s="25"/>
      <c r="DP76" s="25"/>
      <c r="DQ76" s="25"/>
      <c r="DR76" s="25"/>
      <c r="DS76" s="25"/>
      <c r="DT76" s="25"/>
      <c r="DU76" s="25"/>
      <c r="DV76" s="25"/>
      <c r="DW76" s="25"/>
      <c r="DX76" s="25"/>
      <c r="DY76" s="25"/>
      <c r="DZ76" s="25"/>
      <c r="EA76" s="25"/>
      <c r="EB76" s="25"/>
      <c r="EC76" s="25"/>
      <c r="ED76" s="25"/>
      <c r="EE76" s="25"/>
      <c r="EF76" s="25"/>
      <c r="EG76" s="25"/>
      <c r="EH76" s="25"/>
      <c r="EI76" s="25"/>
      <c r="EJ76" s="25"/>
      <c r="EK76" s="25"/>
      <c r="EL76" s="25"/>
      <c r="EM76" s="25"/>
      <c r="EN76" s="25"/>
      <c r="EO76" s="25"/>
      <c r="EP76" s="25"/>
      <c r="EQ76" s="25"/>
      <c r="ER76" s="25"/>
      <c r="ES76" s="25"/>
      <c r="ET76" s="25"/>
    </row>
    <row r="77" spans="9:150" x14ac:dyDescent="0.25"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  <c r="BF77" s="25"/>
      <c r="BG77" s="25"/>
      <c r="BH77" s="25"/>
      <c r="BI77" s="25"/>
      <c r="BJ77" s="25"/>
      <c r="BK77" s="25"/>
      <c r="BL77" s="25"/>
      <c r="BM77" s="25"/>
      <c r="BN77" s="25"/>
      <c r="BO77" s="25"/>
      <c r="BP77" s="25"/>
      <c r="BQ77" s="25"/>
      <c r="BR77" s="25"/>
      <c r="BS77" s="25"/>
      <c r="BT77" s="25"/>
      <c r="BU77" s="25"/>
      <c r="BV77" s="25"/>
      <c r="BW77" s="25"/>
      <c r="BX77" s="25"/>
      <c r="BY77" s="25"/>
      <c r="BZ77" s="25"/>
      <c r="CA77" s="25"/>
      <c r="CB77" s="25"/>
      <c r="CC77" s="25"/>
      <c r="CD77" s="25"/>
      <c r="CE77" s="25"/>
      <c r="CF77" s="25"/>
      <c r="CG77" s="25"/>
      <c r="CH77" s="25"/>
      <c r="CI77" s="25"/>
      <c r="CJ77" s="25"/>
      <c r="CK77" s="25"/>
      <c r="CL77" s="25"/>
      <c r="CM77" s="25"/>
      <c r="CN77" s="25"/>
      <c r="CO77" s="25"/>
      <c r="CP77" s="25"/>
      <c r="CQ77" s="25"/>
      <c r="CR77" s="25"/>
      <c r="CS77" s="25"/>
      <c r="CT77" s="25"/>
      <c r="CU77" s="25"/>
      <c r="CV77" s="25"/>
      <c r="CW77" s="25"/>
      <c r="CX77" s="25"/>
      <c r="CY77" s="25"/>
      <c r="CZ77" s="25"/>
      <c r="DA77" s="25"/>
      <c r="DB77" s="25"/>
      <c r="DC77" s="25"/>
      <c r="DD77" s="25"/>
      <c r="DE77" s="25"/>
      <c r="DF77" s="25"/>
      <c r="DG77" s="25"/>
      <c r="DH77" s="25"/>
      <c r="DI77" s="25"/>
      <c r="DJ77" s="25"/>
      <c r="DK77" s="25"/>
      <c r="DL77" s="25"/>
      <c r="DM77" s="25"/>
      <c r="DN77" s="25"/>
      <c r="DO77" s="25"/>
      <c r="DP77" s="25"/>
      <c r="DQ77" s="25"/>
      <c r="DR77" s="25"/>
      <c r="DS77" s="25"/>
      <c r="DT77" s="25"/>
      <c r="DU77" s="25"/>
      <c r="DV77" s="25"/>
      <c r="DW77" s="25"/>
      <c r="DX77" s="25"/>
      <c r="DY77" s="25"/>
      <c r="DZ77" s="25"/>
      <c r="EA77" s="25"/>
      <c r="EB77" s="25"/>
      <c r="EC77" s="25"/>
      <c r="ED77" s="25"/>
      <c r="EE77" s="25"/>
      <c r="EF77" s="25"/>
      <c r="EG77" s="25"/>
      <c r="EH77" s="25"/>
      <c r="EI77" s="25"/>
      <c r="EJ77" s="25"/>
      <c r="EK77" s="25"/>
      <c r="EL77" s="25"/>
      <c r="EM77" s="25"/>
      <c r="EN77" s="25"/>
      <c r="EO77" s="25"/>
      <c r="EP77" s="25"/>
      <c r="EQ77" s="25"/>
      <c r="ER77" s="25"/>
      <c r="ES77" s="25"/>
      <c r="ET77" s="25"/>
    </row>
    <row r="78" spans="9:150" x14ac:dyDescent="0.25"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  <c r="BF78" s="25"/>
      <c r="BG78" s="25"/>
      <c r="BH78" s="25"/>
      <c r="BI78" s="25"/>
      <c r="BJ78" s="25"/>
      <c r="BK78" s="25"/>
      <c r="BL78" s="25"/>
      <c r="BM78" s="25"/>
      <c r="BN78" s="25"/>
      <c r="BO78" s="25"/>
      <c r="BP78" s="25"/>
      <c r="BQ78" s="25"/>
      <c r="BR78" s="25"/>
      <c r="BS78" s="25"/>
      <c r="BT78" s="25"/>
      <c r="BU78" s="25"/>
      <c r="BV78" s="25"/>
      <c r="BW78" s="25"/>
      <c r="BX78" s="25"/>
      <c r="BY78" s="25"/>
      <c r="BZ78" s="25"/>
      <c r="CA78" s="25"/>
      <c r="CB78" s="25"/>
      <c r="CC78" s="25"/>
      <c r="CD78" s="25"/>
      <c r="CE78" s="25"/>
      <c r="CF78" s="25"/>
      <c r="CG78" s="25"/>
      <c r="CH78" s="25"/>
      <c r="CI78" s="25"/>
      <c r="CJ78" s="25"/>
      <c r="CK78" s="25"/>
      <c r="CL78" s="25"/>
      <c r="CM78" s="25"/>
      <c r="CN78" s="25"/>
      <c r="CO78" s="25"/>
      <c r="CP78" s="25"/>
      <c r="CQ78" s="25"/>
      <c r="CR78" s="25"/>
      <c r="CS78" s="25"/>
      <c r="CT78" s="25"/>
      <c r="CU78" s="25"/>
      <c r="CV78" s="25"/>
      <c r="CW78" s="25"/>
      <c r="CX78" s="25"/>
      <c r="CY78" s="25"/>
      <c r="CZ78" s="25"/>
      <c r="DA78" s="25"/>
      <c r="DB78" s="25"/>
      <c r="DC78" s="25"/>
      <c r="DD78" s="25"/>
      <c r="DE78" s="25"/>
      <c r="DF78" s="25"/>
      <c r="DG78" s="25"/>
      <c r="DH78" s="25"/>
      <c r="DI78" s="25"/>
      <c r="DJ78" s="25"/>
      <c r="DK78" s="25"/>
      <c r="DL78" s="25"/>
      <c r="DM78" s="25"/>
      <c r="DN78" s="25"/>
      <c r="DO78" s="25"/>
      <c r="DP78" s="25"/>
      <c r="DQ78" s="25"/>
      <c r="DR78" s="25"/>
      <c r="DS78" s="25"/>
      <c r="DT78" s="25"/>
      <c r="DU78" s="25"/>
      <c r="DV78" s="25"/>
      <c r="DW78" s="25"/>
      <c r="DX78" s="25"/>
      <c r="DY78" s="25"/>
      <c r="DZ78" s="25"/>
      <c r="EA78" s="25"/>
      <c r="EB78" s="25"/>
      <c r="EC78" s="25"/>
      <c r="ED78" s="25"/>
      <c r="EE78" s="25"/>
      <c r="EF78" s="25"/>
      <c r="EG78" s="25"/>
      <c r="EH78" s="25"/>
      <c r="EI78" s="25"/>
      <c r="EJ78" s="25"/>
      <c r="EK78" s="25"/>
      <c r="EL78" s="25"/>
      <c r="EM78" s="25"/>
      <c r="EN78" s="25"/>
      <c r="EO78" s="25"/>
      <c r="EP78" s="25"/>
      <c r="EQ78" s="25"/>
      <c r="ER78" s="25"/>
      <c r="ES78" s="25"/>
      <c r="ET78" s="25"/>
    </row>
    <row r="79" spans="9:150" x14ac:dyDescent="0.25"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  <c r="BF79" s="25"/>
      <c r="BG79" s="25"/>
      <c r="BH79" s="25"/>
      <c r="BI79" s="25"/>
      <c r="BJ79" s="25"/>
      <c r="BK79" s="25"/>
      <c r="BL79" s="25"/>
      <c r="BM79" s="25"/>
      <c r="BN79" s="25"/>
      <c r="BO79" s="25"/>
      <c r="BP79" s="25"/>
      <c r="BQ79" s="25"/>
      <c r="BR79" s="25"/>
      <c r="BS79" s="25"/>
      <c r="BT79" s="25"/>
      <c r="BU79" s="25"/>
      <c r="BV79" s="25"/>
      <c r="BW79" s="25"/>
      <c r="BX79" s="25"/>
      <c r="BY79" s="25"/>
      <c r="BZ79" s="25"/>
      <c r="CA79" s="25"/>
      <c r="CB79" s="25"/>
      <c r="CC79" s="25"/>
      <c r="CD79" s="25"/>
      <c r="CE79" s="25"/>
      <c r="CF79" s="25"/>
      <c r="CG79" s="25"/>
      <c r="CH79" s="25"/>
      <c r="CI79" s="25"/>
      <c r="CJ79" s="25"/>
      <c r="CK79" s="25"/>
      <c r="CL79" s="25"/>
      <c r="CM79" s="25"/>
      <c r="CN79" s="25"/>
      <c r="CO79" s="25"/>
      <c r="CP79" s="25"/>
      <c r="CQ79" s="25"/>
      <c r="CR79" s="25"/>
      <c r="CS79" s="25"/>
      <c r="CT79" s="25"/>
      <c r="CU79" s="25"/>
      <c r="CV79" s="25"/>
      <c r="CW79" s="25"/>
      <c r="CX79" s="25"/>
      <c r="CY79" s="25"/>
      <c r="CZ79" s="25"/>
      <c r="DA79" s="25"/>
      <c r="DB79" s="25"/>
      <c r="DC79" s="25"/>
      <c r="DD79" s="25"/>
      <c r="DE79" s="25"/>
      <c r="DF79" s="25"/>
      <c r="DG79" s="25"/>
      <c r="DH79" s="25"/>
      <c r="DI79" s="25"/>
      <c r="DJ79" s="25"/>
      <c r="DK79" s="25"/>
      <c r="DL79" s="25"/>
      <c r="DM79" s="25"/>
      <c r="DN79" s="25"/>
      <c r="DO79" s="25"/>
      <c r="DP79" s="25"/>
      <c r="DQ79" s="25"/>
      <c r="DR79" s="25"/>
      <c r="DS79" s="25"/>
      <c r="DT79" s="25"/>
      <c r="DU79" s="25"/>
      <c r="DV79" s="25"/>
      <c r="DW79" s="25"/>
      <c r="DX79" s="25"/>
      <c r="DY79" s="25"/>
      <c r="DZ79" s="25"/>
      <c r="EA79" s="25"/>
      <c r="EB79" s="25"/>
      <c r="EC79" s="25"/>
      <c r="ED79" s="25"/>
      <c r="EE79" s="25"/>
      <c r="EF79" s="25"/>
      <c r="EG79" s="25"/>
      <c r="EH79" s="25"/>
      <c r="EI79" s="25"/>
      <c r="EJ79" s="25"/>
      <c r="EK79" s="25"/>
      <c r="EL79" s="25"/>
      <c r="EM79" s="25"/>
      <c r="EN79" s="25"/>
      <c r="EO79" s="25"/>
      <c r="EP79" s="25"/>
      <c r="EQ79" s="25"/>
      <c r="ER79" s="25"/>
      <c r="ES79" s="25"/>
      <c r="ET79" s="25"/>
    </row>
    <row r="80" spans="9:150" x14ac:dyDescent="0.25"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  <c r="BF80" s="25"/>
      <c r="BG80" s="25"/>
      <c r="BH80" s="25"/>
      <c r="BI80" s="25"/>
      <c r="BJ80" s="25"/>
      <c r="BK80" s="25"/>
      <c r="BL80" s="25"/>
      <c r="BM80" s="25"/>
      <c r="BN80" s="25"/>
      <c r="BO80" s="25"/>
      <c r="BP80" s="25"/>
      <c r="BQ80" s="25"/>
      <c r="BR80" s="25"/>
      <c r="BS80" s="25"/>
      <c r="BT80" s="25"/>
      <c r="BU80" s="25"/>
      <c r="BV80" s="25"/>
      <c r="BW80" s="25"/>
      <c r="BX80" s="25"/>
      <c r="BY80" s="25"/>
      <c r="BZ80" s="25"/>
      <c r="CA80" s="25"/>
      <c r="CB80" s="25"/>
      <c r="CC80" s="25"/>
      <c r="CD80" s="25"/>
      <c r="CE80" s="25"/>
      <c r="CF80" s="25"/>
      <c r="CG80" s="25"/>
      <c r="CH80" s="25"/>
      <c r="CI80" s="25"/>
      <c r="CJ80" s="25"/>
      <c r="CK80" s="25"/>
      <c r="CL80" s="25"/>
      <c r="CM80" s="25"/>
      <c r="CN80" s="25"/>
      <c r="CO80" s="25"/>
      <c r="CP80" s="25"/>
      <c r="CQ80" s="25"/>
      <c r="CR80" s="25"/>
      <c r="CS80" s="25"/>
      <c r="CT80" s="25"/>
      <c r="CU80" s="25"/>
      <c r="CV80" s="25"/>
      <c r="CW80" s="25"/>
      <c r="CX80" s="25"/>
      <c r="CY80" s="25"/>
      <c r="CZ80" s="25"/>
      <c r="DA80" s="25"/>
      <c r="DB80" s="25"/>
      <c r="DC80" s="25"/>
      <c r="DD80" s="25"/>
      <c r="DE80" s="25"/>
      <c r="DF80" s="25"/>
      <c r="DG80" s="25"/>
      <c r="DH80" s="25"/>
      <c r="DI80" s="25"/>
      <c r="DJ80" s="25"/>
      <c r="DK80" s="25"/>
      <c r="DL80" s="25"/>
      <c r="DM80" s="25"/>
      <c r="DN80" s="25"/>
      <c r="DO80" s="25"/>
      <c r="DP80" s="25"/>
      <c r="DQ80" s="25"/>
      <c r="DR80" s="25"/>
      <c r="DS80" s="25"/>
      <c r="DT80" s="25"/>
      <c r="DU80" s="25"/>
      <c r="DV80" s="25"/>
      <c r="DW80" s="25"/>
      <c r="DX80" s="25"/>
      <c r="DY80" s="25"/>
      <c r="DZ80" s="25"/>
      <c r="EA80" s="25"/>
      <c r="EB80" s="25"/>
      <c r="EC80" s="25"/>
      <c r="ED80" s="25"/>
      <c r="EE80" s="25"/>
      <c r="EF80" s="25"/>
      <c r="EG80" s="25"/>
      <c r="EH80" s="25"/>
      <c r="EI80" s="25"/>
      <c r="EJ80" s="25"/>
      <c r="EK80" s="25"/>
      <c r="EL80" s="25"/>
      <c r="EM80" s="25"/>
      <c r="EN80" s="25"/>
      <c r="EO80" s="25"/>
      <c r="EP80" s="25"/>
      <c r="EQ80" s="25"/>
      <c r="ER80" s="25"/>
      <c r="ES80" s="25"/>
      <c r="ET80" s="25"/>
    </row>
    <row r="81" spans="2:150" x14ac:dyDescent="0.25"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25"/>
      <c r="BJ81" s="25"/>
      <c r="BK81" s="25"/>
      <c r="BL81" s="25"/>
      <c r="BM81" s="25"/>
      <c r="BN81" s="25"/>
      <c r="BO81" s="25"/>
      <c r="BP81" s="25"/>
      <c r="BQ81" s="25"/>
      <c r="BR81" s="25"/>
      <c r="BS81" s="25"/>
      <c r="BT81" s="25"/>
      <c r="BU81" s="25"/>
      <c r="BV81" s="25"/>
      <c r="BW81" s="25"/>
      <c r="BX81" s="25"/>
      <c r="BY81" s="25"/>
      <c r="BZ81" s="25"/>
      <c r="CA81" s="25"/>
      <c r="CB81" s="25"/>
      <c r="CC81" s="25"/>
      <c r="CD81" s="25"/>
      <c r="CE81" s="25"/>
      <c r="CF81" s="25"/>
      <c r="CG81" s="25"/>
      <c r="CH81" s="25"/>
      <c r="CI81" s="25"/>
      <c r="CJ81" s="25"/>
      <c r="CK81" s="25"/>
      <c r="CL81" s="25"/>
      <c r="CM81" s="25"/>
      <c r="CN81" s="25"/>
      <c r="CO81" s="25"/>
      <c r="CP81" s="25"/>
      <c r="CQ81" s="25"/>
      <c r="CR81" s="25"/>
      <c r="CS81" s="25"/>
      <c r="CT81" s="25"/>
      <c r="CU81" s="25"/>
      <c r="CV81" s="25"/>
      <c r="CW81" s="25"/>
      <c r="CX81" s="25"/>
      <c r="CY81" s="25"/>
      <c r="CZ81" s="25"/>
      <c r="DA81" s="25"/>
      <c r="DB81" s="25"/>
      <c r="DC81" s="25"/>
      <c r="DD81" s="25"/>
      <c r="DE81" s="25"/>
      <c r="DF81" s="25"/>
      <c r="DG81" s="25"/>
      <c r="DH81" s="25"/>
      <c r="DI81" s="25"/>
      <c r="DJ81" s="25"/>
      <c r="DK81" s="25"/>
      <c r="DL81" s="25"/>
      <c r="DM81" s="25"/>
      <c r="DN81" s="25"/>
      <c r="DO81" s="25"/>
      <c r="DP81" s="25"/>
      <c r="DQ81" s="25"/>
      <c r="DR81" s="25"/>
      <c r="DS81" s="25"/>
      <c r="DT81" s="25"/>
      <c r="DU81" s="25"/>
      <c r="DV81" s="25"/>
      <c r="DW81" s="25"/>
      <c r="DX81" s="25"/>
      <c r="DY81" s="25"/>
      <c r="DZ81" s="25"/>
      <c r="EA81" s="25"/>
      <c r="EB81" s="25"/>
      <c r="EC81" s="25"/>
      <c r="ED81" s="25"/>
      <c r="EE81" s="25"/>
      <c r="EF81" s="25"/>
      <c r="EG81" s="25"/>
      <c r="EH81" s="25"/>
      <c r="EI81" s="25"/>
      <c r="EJ81" s="25"/>
      <c r="EK81" s="25"/>
      <c r="EL81" s="25"/>
      <c r="EM81" s="25"/>
      <c r="EN81" s="25"/>
      <c r="EO81" s="25"/>
      <c r="EP81" s="25"/>
      <c r="EQ81" s="25"/>
      <c r="ER81" s="25"/>
      <c r="ES81" s="25"/>
      <c r="ET81" s="25"/>
    </row>
    <row r="82" spans="2:150" x14ac:dyDescent="0.25"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  <c r="BF82" s="25"/>
      <c r="BG82" s="25"/>
      <c r="BH82" s="25"/>
      <c r="BI82" s="25"/>
      <c r="BJ82" s="25"/>
      <c r="BK82" s="25"/>
      <c r="BL82" s="25"/>
      <c r="BM82" s="25"/>
      <c r="BN82" s="25"/>
      <c r="BO82" s="25"/>
      <c r="BP82" s="25"/>
      <c r="BQ82" s="25"/>
      <c r="BR82" s="25"/>
      <c r="BS82" s="25"/>
      <c r="BT82" s="25"/>
      <c r="BU82" s="25"/>
      <c r="BV82" s="25"/>
      <c r="BW82" s="25"/>
      <c r="BX82" s="25"/>
      <c r="BY82" s="25"/>
      <c r="BZ82" s="25"/>
      <c r="CA82" s="25"/>
      <c r="CB82" s="25"/>
      <c r="CC82" s="25"/>
      <c r="CD82" s="25"/>
      <c r="CE82" s="25"/>
      <c r="CF82" s="25"/>
      <c r="CG82" s="25"/>
      <c r="CH82" s="25"/>
      <c r="CI82" s="25"/>
      <c r="CJ82" s="25"/>
      <c r="CK82" s="25"/>
      <c r="CL82" s="25"/>
      <c r="CM82" s="25"/>
      <c r="CN82" s="25"/>
      <c r="CO82" s="25"/>
      <c r="CP82" s="25"/>
      <c r="CQ82" s="25"/>
      <c r="CR82" s="25"/>
      <c r="CS82" s="25"/>
      <c r="CT82" s="25"/>
      <c r="CU82" s="25"/>
      <c r="CV82" s="25"/>
      <c r="CW82" s="25"/>
      <c r="CX82" s="25"/>
      <c r="CY82" s="25"/>
      <c r="CZ82" s="25"/>
      <c r="DA82" s="25"/>
      <c r="DB82" s="25"/>
      <c r="DC82" s="25"/>
      <c r="DD82" s="25"/>
      <c r="DE82" s="25"/>
      <c r="DF82" s="25"/>
      <c r="DG82" s="25"/>
      <c r="DH82" s="25"/>
      <c r="DI82" s="25"/>
      <c r="DJ82" s="25"/>
      <c r="DK82" s="25"/>
      <c r="DL82" s="25"/>
      <c r="DM82" s="25"/>
      <c r="DN82" s="25"/>
      <c r="DO82" s="25"/>
      <c r="DP82" s="25"/>
      <c r="DQ82" s="25"/>
      <c r="DR82" s="25"/>
      <c r="DS82" s="25"/>
      <c r="DT82" s="25"/>
      <c r="DU82" s="25"/>
      <c r="DV82" s="25"/>
      <c r="DW82" s="25"/>
      <c r="DX82" s="25"/>
      <c r="DY82" s="25"/>
      <c r="DZ82" s="25"/>
      <c r="EA82" s="25"/>
      <c r="EB82" s="25"/>
      <c r="EC82" s="25"/>
      <c r="ED82" s="25"/>
      <c r="EE82" s="25"/>
      <c r="EF82" s="25"/>
      <c r="EG82" s="25"/>
      <c r="EH82" s="25"/>
      <c r="EI82" s="25"/>
      <c r="EJ82" s="25"/>
      <c r="EK82" s="25"/>
      <c r="EL82" s="25"/>
      <c r="EM82" s="25"/>
      <c r="EN82" s="25"/>
      <c r="EO82" s="25"/>
      <c r="EP82" s="25"/>
      <c r="EQ82" s="25"/>
      <c r="ER82" s="25"/>
      <c r="ES82" s="25"/>
      <c r="ET82" s="25"/>
    </row>
    <row r="83" spans="2:150" x14ac:dyDescent="0.25">
      <c r="B83" s="10"/>
      <c r="C83" s="10"/>
      <c r="D83" s="10"/>
      <c r="E83" s="10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  <c r="BF83" s="25"/>
      <c r="BG83" s="25"/>
      <c r="BH83" s="25"/>
      <c r="BI83" s="25"/>
      <c r="BJ83" s="25"/>
      <c r="BK83" s="25"/>
      <c r="BL83" s="25"/>
      <c r="BM83" s="25"/>
      <c r="BN83" s="25"/>
      <c r="BO83" s="25"/>
      <c r="BP83" s="25"/>
      <c r="BQ83" s="25"/>
      <c r="BR83" s="25"/>
      <c r="BS83" s="25"/>
      <c r="BT83" s="25"/>
      <c r="BU83" s="25"/>
      <c r="BV83" s="25"/>
      <c r="BW83" s="25"/>
      <c r="BX83" s="25"/>
      <c r="BY83" s="25"/>
      <c r="BZ83" s="25"/>
      <c r="CA83" s="25"/>
      <c r="CB83" s="25"/>
      <c r="CC83" s="25"/>
      <c r="CD83" s="25"/>
      <c r="CE83" s="25"/>
      <c r="CF83" s="25"/>
      <c r="CG83" s="25"/>
      <c r="CH83" s="25"/>
      <c r="CI83" s="25"/>
      <c r="CJ83" s="25"/>
      <c r="CK83" s="25"/>
      <c r="CL83" s="25"/>
      <c r="CM83" s="25"/>
      <c r="CN83" s="25"/>
      <c r="CO83" s="25"/>
      <c r="CP83" s="25"/>
      <c r="CQ83" s="25"/>
      <c r="CR83" s="25"/>
      <c r="CS83" s="25"/>
      <c r="CT83" s="25"/>
      <c r="CU83" s="25"/>
      <c r="CV83" s="25"/>
      <c r="CW83" s="25"/>
      <c r="CX83" s="25"/>
      <c r="CY83" s="25"/>
      <c r="CZ83" s="25"/>
      <c r="DA83" s="25"/>
      <c r="DB83" s="25"/>
      <c r="DC83" s="25"/>
      <c r="DD83" s="25"/>
      <c r="DE83" s="25"/>
      <c r="DF83" s="25"/>
      <c r="DG83" s="25"/>
      <c r="DH83" s="25"/>
      <c r="DI83" s="25"/>
      <c r="DJ83" s="25"/>
      <c r="DK83" s="25"/>
      <c r="DL83" s="25"/>
      <c r="DM83" s="25"/>
      <c r="DN83" s="25"/>
      <c r="DO83" s="25"/>
      <c r="DP83" s="25"/>
      <c r="DQ83" s="25"/>
      <c r="DR83" s="25"/>
      <c r="DS83" s="25"/>
      <c r="DT83" s="25"/>
      <c r="DU83" s="25"/>
      <c r="DV83" s="25"/>
      <c r="DW83" s="25"/>
      <c r="DX83" s="25"/>
      <c r="DY83" s="25"/>
      <c r="DZ83" s="25"/>
      <c r="EA83" s="25"/>
      <c r="EB83" s="25"/>
      <c r="EC83" s="25"/>
      <c r="ED83" s="25"/>
      <c r="EE83" s="25"/>
      <c r="EF83" s="25"/>
      <c r="EG83" s="25"/>
      <c r="EH83" s="25"/>
      <c r="EI83" s="25"/>
      <c r="EJ83" s="25"/>
      <c r="EK83" s="25"/>
      <c r="EL83" s="25"/>
      <c r="EM83" s="25"/>
      <c r="EN83" s="25"/>
      <c r="EO83" s="25"/>
      <c r="EP83" s="25"/>
      <c r="EQ83" s="25"/>
      <c r="ER83" s="25"/>
      <c r="ES83" s="25"/>
      <c r="ET83" s="25"/>
    </row>
    <row r="84" spans="2:150" x14ac:dyDescent="0.25">
      <c r="B84" s="10"/>
      <c r="C84" s="10"/>
      <c r="D84" s="10"/>
      <c r="E84" s="10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  <c r="BF84" s="25"/>
      <c r="BG84" s="25"/>
      <c r="BH84" s="25"/>
      <c r="BI84" s="25"/>
      <c r="BJ84" s="25"/>
      <c r="BK84" s="25"/>
      <c r="BL84" s="25"/>
      <c r="BM84" s="25"/>
      <c r="BN84" s="25"/>
      <c r="BO84" s="25"/>
      <c r="BP84" s="25"/>
      <c r="BQ84" s="25"/>
      <c r="BR84" s="25"/>
      <c r="BS84" s="25"/>
      <c r="BT84" s="25"/>
      <c r="BU84" s="25"/>
      <c r="BV84" s="25"/>
      <c r="BW84" s="25"/>
      <c r="BX84" s="25"/>
      <c r="BY84" s="25"/>
      <c r="BZ84" s="25"/>
      <c r="CA84" s="25"/>
      <c r="CB84" s="25"/>
      <c r="CC84" s="25"/>
      <c r="CD84" s="25"/>
      <c r="CE84" s="25"/>
      <c r="CF84" s="25"/>
      <c r="CG84" s="25"/>
      <c r="CH84" s="25"/>
      <c r="CI84" s="25"/>
      <c r="CJ84" s="25"/>
      <c r="CK84" s="25"/>
      <c r="CL84" s="25"/>
      <c r="CM84" s="25"/>
      <c r="CN84" s="25"/>
      <c r="CO84" s="25"/>
      <c r="CP84" s="25"/>
      <c r="CQ84" s="25"/>
      <c r="CR84" s="25"/>
      <c r="CS84" s="25"/>
      <c r="CT84" s="25"/>
      <c r="CU84" s="25"/>
      <c r="CV84" s="25"/>
      <c r="CW84" s="25"/>
      <c r="CX84" s="25"/>
      <c r="CY84" s="25"/>
      <c r="CZ84" s="25"/>
      <c r="DA84" s="25"/>
      <c r="DB84" s="25"/>
      <c r="DC84" s="25"/>
      <c r="DD84" s="25"/>
      <c r="DE84" s="25"/>
      <c r="DF84" s="25"/>
      <c r="DG84" s="25"/>
      <c r="DH84" s="25"/>
      <c r="DI84" s="25"/>
      <c r="DJ84" s="25"/>
      <c r="DK84" s="25"/>
      <c r="DL84" s="25"/>
      <c r="DM84" s="25"/>
      <c r="DN84" s="25"/>
      <c r="DO84" s="25"/>
      <c r="DP84" s="25"/>
      <c r="DQ84" s="25"/>
      <c r="DR84" s="25"/>
      <c r="DS84" s="25"/>
      <c r="DT84" s="25"/>
      <c r="DU84" s="25"/>
      <c r="DV84" s="25"/>
      <c r="DW84" s="25"/>
      <c r="DX84" s="25"/>
      <c r="DY84" s="25"/>
      <c r="DZ84" s="25"/>
      <c r="EA84" s="25"/>
      <c r="EB84" s="25"/>
      <c r="EC84" s="25"/>
      <c r="ED84" s="25"/>
      <c r="EE84" s="25"/>
      <c r="EF84" s="25"/>
      <c r="EG84" s="25"/>
      <c r="EH84" s="25"/>
      <c r="EI84" s="25"/>
      <c r="EJ84" s="25"/>
      <c r="EK84" s="25"/>
      <c r="EL84" s="25"/>
      <c r="EM84" s="25"/>
      <c r="EN84" s="25"/>
      <c r="EO84" s="25"/>
      <c r="EP84" s="25"/>
      <c r="EQ84" s="25"/>
      <c r="ER84" s="25"/>
      <c r="ES84" s="25"/>
      <c r="ET84" s="25"/>
    </row>
    <row r="85" spans="2:150" x14ac:dyDescent="0.25"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  <c r="BF85" s="25"/>
      <c r="BG85" s="25"/>
      <c r="BH85" s="25"/>
      <c r="BI85" s="25"/>
      <c r="BJ85" s="25"/>
      <c r="BK85" s="25"/>
      <c r="BL85" s="25"/>
      <c r="BM85" s="25"/>
      <c r="BN85" s="25"/>
      <c r="BO85" s="25"/>
      <c r="BP85" s="25"/>
      <c r="BQ85" s="25"/>
      <c r="BR85" s="25"/>
      <c r="BS85" s="25"/>
      <c r="BT85" s="25"/>
      <c r="BU85" s="25"/>
      <c r="BV85" s="25"/>
      <c r="BW85" s="25"/>
      <c r="BX85" s="25"/>
      <c r="BY85" s="25"/>
      <c r="BZ85" s="25"/>
      <c r="CA85" s="25"/>
      <c r="CB85" s="25"/>
      <c r="CC85" s="25"/>
      <c r="CD85" s="25"/>
      <c r="CE85" s="25"/>
      <c r="CF85" s="25"/>
      <c r="CG85" s="25"/>
      <c r="CH85" s="25"/>
      <c r="CI85" s="25"/>
      <c r="CJ85" s="25"/>
      <c r="CK85" s="25"/>
      <c r="CL85" s="25"/>
      <c r="CM85" s="25"/>
      <c r="CN85" s="25"/>
      <c r="CO85" s="25"/>
      <c r="CP85" s="25"/>
      <c r="CQ85" s="25"/>
      <c r="CR85" s="25"/>
      <c r="CS85" s="25"/>
      <c r="CT85" s="25"/>
      <c r="CU85" s="25"/>
      <c r="CV85" s="25"/>
      <c r="CW85" s="25"/>
      <c r="CX85" s="25"/>
      <c r="CY85" s="25"/>
      <c r="CZ85" s="25"/>
      <c r="DA85" s="25"/>
      <c r="DB85" s="25"/>
      <c r="DC85" s="25"/>
      <c r="DD85" s="25"/>
      <c r="DE85" s="25"/>
      <c r="DF85" s="25"/>
      <c r="DG85" s="25"/>
      <c r="DH85" s="25"/>
      <c r="DI85" s="25"/>
      <c r="DJ85" s="25"/>
      <c r="DK85" s="25"/>
      <c r="DL85" s="25"/>
      <c r="DM85" s="25"/>
      <c r="DN85" s="25"/>
      <c r="DO85" s="25"/>
      <c r="DP85" s="25"/>
      <c r="DQ85" s="25"/>
      <c r="DR85" s="25"/>
      <c r="DS85" s="25"/>
      <c r="DT85" s="25"/>
      <c r="DU85" s="25"/>
      <c r="DV85" s="25"/>
      <c r="DW85" s="25"/>
      <c r="DX85" s="25"/>
      <c r="DY85" s="25"/>
      <c r="DZ85" s="25"/>
      <c r="EA85" s="25"/>
      <c r="EB85" s="25"/>
      <c r="EC85" s="25"/>
      <c r="ED85" s="25"/>
      <c r="EE85" s="25"/>
      <c r="EF85" s="25"/>
      <c r="EG85" s="25"/>
      <c r="EH85" s="25"/>
      <c r="EI85" s="25"/>
      <c r="EJ85" s="25"/>
      <c r="EK85" s="25"/>
      <c r="EL85" s="25"/>
      <c r="EM85" s="25"/>
      <c r="EN85" s="25"/>
      <c r="EO85" s="25"/>
      <c r="EP85" s="25"/>
      <c r="EQ85" s="25"/>
      <c r="ER85" s="25"/>
      <c r="ES85" s="25"/>
      <c r="ET85" s="25"/>
    </row>
    <row r="86" spans="2:150" x14ac:dyDescent="0.25"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  <c r="BF86" s="25"/>
      <c r="BG86" s="25"/>
      <c r="BH86" s="25"/>
      <c r="BI86" s="25"/>
      <c r="BJ86" s="25"/>
      <c r="BK86" s="25"/>
      <c r="BL86" s="25"/>
      <c r="BM86" s="25"/>
      <c r="BN86" s="25"/>
      <c r="BO86" s="25"/>
      <c r="BP86" s="25"/>
      <c r="BQ86" s="25"/>
      <c r="BR86" s="25"/>
      <c r="BS86" s="25"/>
      <c r="BT86" s="25"/>
      <c r="BU86" s="25"/>
      <c r="BV86" s="25"/>
      <c r="BW86" s="25"/>
      <c r="BX86" s="25"/>
      <c r="BY86" s="25"/>
      <c r="BZ86" s="25"/>
      <c r="CA86" s="25"/>
      <c r="CB86" s="25"/>
      <c r="CC86" s="25"/>
      <c r="CD86" s="25"/>
      <c r="CE86" s="25"/>
      <c r="CF86" s="25"/>
      <c r="CG86" s="25"/>
      <c r="CH86" s="25"/>
      <c r="CI86" s="25"/>
      <c r="CJ86" s="25"/>
      <c r="CK86" s="25"/>
      <c r="CL86" s="25"/>
      <c r="CM86" s="25"/>
      <c r="CN86" s="25"/>
      <c r="CO86" s="25"/>
      <c r="CP86" s="25"/>
      <c r="CQ86" s="25"/>
      <c r="CR86" s="25"/>
      <c r="CS86" s="25"/>
      <c r="CT86" s="25"/>
      <c r="CU86" s="25"/>
      <c r="CV86" s="25"/>
      <c r="CW86" s="25"/>
      <c r="CX86" s="25"/>
      <c r="CY86" s="25"/>
      <c r="CZ86" s="25"/>
      <c r="DA86" s="25"/>
      <c r="DB86" s="25"/>
      <c r="DC86" s="25"/>
      <c r="DD86" s="25"/>
      <c r="DE86" s="25"/>
      <c r="DF86" s="25"/>
      <c r="DG86" s="25"/>
      <c r="DH86" s="25"/>
      <c r="DI86" s="25"/>
      <c r="DJ86" s="25"/>
      <c r="DK86" s="25"/>
      <c r="DL86" s="25"/>
      <c r="DM86" s="25"/>
      <c r="DN86" s="25"/>
      <c r="DO86" s="25"/>
      <c r="DP86" s="25"/>
      <c r="DQ86" s="25"/>
      <c r="DR86" s="25"/>
      <c r="DS86" s="25"/>
      <c r="DT86" s="25"/>
      <c r="DU86" s="25"/>
      <c r="DV86" s="25"/>
      <c r="DW86" s="25"/>
      <c r="DX86" s="25"/>
      <c r="DY86" s="25"/>
      <c r="DZ86" s="25"/>
      <c r="EA86" s="25"/>
      <c r="EB86" s="25"/>
      <c r="EC86" s="25"/>
      <c r="ED86" s="25"/>
      <c r="EE86" s="25"/>
      <c r="EF86" s="25"/>
      <c r="EG86" s="25"/>
      <c r="EH86" s="25"/>
      <c r="EI86" s="25"/>
      <c r="EJ86" s="25"/>
      <c r="EK86" s="25"/>
      <c r="EL86" s="25"/>
      <c r="EM86" s="25"/>
      <c r="EN86" s="25"/>
      <c r="EO86" s="25"/>
      <c r="EP86" s="25"/>
      <c r="EQ86" s="25"/>
      <c r="ER86" s="25"/>
      <c r="ES86" s="25"/>
      <c r="ET86" s="25"/>
    </row>
    <row r="87" spans="2:150" x14ac:dyDescent="0.25"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  <c r="BF87" s="25"/>
      <c r="BG87" s="25"/>
      <c r="BH87" s="25"/>
      <c r="BI87" s="25"/>
      <c r="BJ87" s="25"/>
      <c r="BK87" s="25"/>
      <c r="BL87" s="25"/>
      <c r="BM87" s="25"/>
      <c r="BN87" s="25"/>
      <c r="BO87" s="25"/>
      <c r="BP87" s="25"/>
      <c r="BQ87" s="25"/>
      <c r="BR87" s="25"/>
      <c r="BS87" s="25"/>
      <c r="BT87" s="25"/>
      <c r="BU87" s="25"/>
      <c r="BV87" s="25"/>
      <c r="BW87" s="25"/>
      <c r="BX87" s="25"/>
      <c r="BY87" s="25"/>
      <c r="BZ87" s="25"/>
      <c r="CA87" s="25"/>
      <c r="CB87" s="25"/>
      <c r="CC87" s="25"/>
      <c r="CD87" s="25"/>
      <c r="CE87" s="25"/>
      <c r="CF87" s="25"/>
      <c r="CG87" s="25"/>
      <c r="CH87" s="25"/>
      <c r="CI87" s="25"/>
      <c r="CJ87" s="25"/>
      <c r="CK87" s="25"/>
      <c r="CL87" s="25"/>
      <c r="CM87" s="25"/>
      <c r="CN87" s="25"/>
      <c r="CO87" s="25"/>
      <c r="CP87" s="25"/>
      <c r="CQ87" s="25"/>
      <c r="CR87" s="25"/>
      <c r="CS87" s="25"/>
      <c r="CT87" s="25"/>
      <c r="CU87" s="25"/>
      <c r="CV87" s="25"/>
      <c r="CW87" s="25"/>
      <c r="CX87" s="25"/>
      <c r="CY87" s="25"/>
      <c r="CZ87" s="25"/>
      <c r="DA87" s="25"/>
      <c r="DB87" s="25"/>
      <c r="DC87" s="25"/>
      <c r="DD87" s="25"/>
      <c r="DE87" s="25"/>
      <c r="DF87" s="25"/>
      <c r="DG87" s="25"/>
      <c r="DH87" s="25"/>
      <c r="DI87" s="25"/>
      <c r="DJ87" s="25"/>
      <c r="DK87" s="25"/>
      <c r="DL87" s="25"/>
      <c r="DM87" s="25"/>
      <c r="DN87" s="25"/>
      <c r="DO87" s="25"/>
      <c r="DP87" s="25"/>
      <c r="DQ87" s="25"/>
      <c r="DR87" s="25"/>
      <c r="DS87" s="25"/>
      <c r="DT87" s="25"/>
      <c r="DU87" s="25"/>
      <c r="DV87" s="25"/>
      <c r="DW87" s="25"/>
      <c r="DX87" s="25"/>
      <c r="DY87" s="25"/>
      <c r="DZ87" s="25"/>
      <c r="EA87" s="25"/>
      <c r="EB87" s="25"/>
      <c r="EC87" s="25"/>
      <c r="ED87" s="25"/>
      <c r="EE87" s="25"/>
      <c r="EF87" s="25"/>
      <c r="EG87" s="25"/>
      <c r="EH87" s="25"/>
      <c r="EI87" s="25"/>
      <c r="EJ87" s="25"/>
      <c r="EK87" s="25"/>
      <c r="EL87" s="25"/>
      <c r="EM87" s="25"/>
      <c r="EN87" s="25"/>
      <c r="EO87" s="25"/>
      <c r="EP87" s="25"/>
      <c r="EQ87" s="25"/>
      <c r="ER87" s="25"/>
      <c r="ES87" s="25"/>
      <c r="ET87" s="25"/>
    </row>
    <row r="88" spans="2:150" x14ac:dyDescent="0.25"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  <c r="BF88" s="25"/>
      <c r="BG88" s="25"/>
      <c r="BH88" s="25"/>
      <c r="BI88" s="25"/>
      <c r="BJ88" s="25"/>
      <c r="BK88" s="25"/>
      <c r="BL88" s="25"/>
      <c r="BM88" s="25"/>
      <c r="BN88" s="25"/>
      <c r="BO88" s="25"/>
      <c r="BP88" s="25"/>
      <c r="BQ88" s="25"/>
      <c r="BR88" s="25"/>
      <c r="BS88" s="25"/>
      <c r="BT88" s="25"/>
      <c r="BU88" s="25"/>
      <c r="BV88" s="25"/>
      <c r="BW88" s="25"/>
      <c r="BX88" s="25"/>
      <c r="BY88" s="25"/>
      <c r="BZ88" s="25"/>
      <c r="CA88" s="25"/>
      <c r="CB88" s="25"/>
      <c r="CC88" s="25"/>
      <c r="CD88" s="25"/>
      <c r="CE88" s="25"/>
      <c r="CF88" s="25"/>
      <c r="CG88" s="25"/>
      <c r="CH88" s="25"/>
      <c r="CI88" s="25"/>
      <c r="CJ88" s="25"/>
      <c r="CK88" s="25"/>
      <c r="CL88" s="25"/>
      <c r="CM88" s="25"/>
      <c r="CN88" s="25"/>
      <c r="CO88" s="25"/>
      <c r="CP88" s="25"/>
      <c r="CQ88" s="25"/>
      <c r="CR88" s="25"/>
      <c r="CS88" s="25"/>
      <c r="CT88" s="25"/>
      <c r="CU88" s="25"/>
      <c r="CV88" s="25"/>
      <c r="CW88" s="25"/>
      <c r="CX88" s="25"/>
      <c r="CY88" s="25"/>
      <c r="CZ88" s="25"/>
      <c r="DA88" s="25"/>
      <c r="DB88" s="25"/>
      <c r="DC88" s="25"/>
      <c r="DD88" s="25"/>
      <c r="DE88" s="25"/>
      <c r="DF88" s="25"/>
      <c r="DG88" s="25"/>
      <c r="DH88" s="25"/>
      <c r="DI88" s="25"/>
      <c r="DJ88" s="25"/>
      <c r="DK88" s="25"/>
      <c r="DL88" s="25"/>
      <c r="DM88" s="25"/>
      <c r="DN88" s="25"/>
      <c r="DO88" s="25"/>
      <c r="DP88" s="25"/>
      <c r="DQ88" s="25"/>
      <c r="DR88" s="25"/>
      <c r="DS88" s="25"/>
      <c r="DT88" s="25"/>
      <c r="DU88" s="25"/>
      <c r="DV88" s="25"/>
      <c r="DW88" s="25"/>
      <c r="DX88" s="25"/>
      <c r="DY88" s="25"/>
      <c r="DZ88" s="25"/>
      <c r="EA88" s="25"/>
      <c r="EB88" s="25"/>
      <c r="EC88" s="25"/>
      <c r="ED88" s="25"/>
      <c r="EE88" s="25"/>
      <c r="EF88" s="25"/>
      <c r="EG88" s="25"/>
      <c r="EH88" s="25"/>
      <c r="EI88" s="25"/>
      <c r="EJ88" s="25"/>
      <c r="EK88" s="25"/>
      <c r="EL88" s="25"/>
      <c r="EM88" s="25"/>
      <c r="EN88" s="25"/>
      <c r="EO88" s="25"/>
      <c r="EP88" s="25"/>
      <c r="EQ88" s="25"/>
      <c r="ER88" s="25"/>
      <c r="ES88" s="25"/>
      <c r="ET88" s="25"/>
    </row>
    <row r="89" spans="2:150" x14ac:dyDescent="0.25"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  <c r="BF89" s="25"/>
      <c r="BG89" s="25"/>
      <c r="BH89" s="25"/>
      <c r="BI89" s="25"/>
      <c r="BJ89" s="25"/>
      <c r="BK89" s="25"/>
      <c r="BL89" s="25"/>
      <c r="BM89" s="25"/>
      <c r="BN89" s="25"/>
      <c r="BO89" s="25"/>
      <c r="BP89" s="25"/>
      <c r="BQ89" s="25"/>
      <c r="BR89" s="25"/>
      <c r="BS89" s="25"/>
      <c r="BT89" s="25"/>
      <c r="BU89" s="25"/>
      <c r="BV89" s="25"/>
      <c r="BW89" s="25"/>
      <c r="BX89" s="25"/>
      <c r="BY89" s="25"/>
      <c r="BZ89" s="25"/>
      <c r="CA89" s="25"/>
      <c r="CB89" s="25"/>
      <c r="CC89" s="25"/>
      <c r="CD89" s="25"/>
      <c r="CE89" s="25"/>
      <c r="CF89" s="25"/>
      <c r="CG89" s="25"/>
      <c r="CH89" s="25"/>
      <c r="CI89" s="25"/>
      <c r="CJ89" s="25"/>
      <c r="CK89" s="25"/>
      <c r="CL89" s="25"/>
      <c r="CM89" s="25"/>
      <c r="CN89" s="25"/>
      <c r="CO89" s="25"/>
      <c r="CP89" s="25"/>
      <c r="CQ89" s="25"/>
      <c r="CR89" s="25"/>
      <c r="CS89" s="25"/>
      <c r="CT89" s="25"/>
      <c r="CU89" s="25"/>
      <c r="CV89" s="25"/>
      <c r="CW89" s="25"/>
      <c r="CX89" s="25"/>
      <c r="CY89" s="25"/>
      <c r="CZ89" s="25"/>
      <c r="DA89" s="25"/>
      <c r="DB89" s="25"/>
      <c r="DC89" s="25"/>
      <c r="DD89" s="25"/>
      <c r="DE89" s="25"/>
      <c r="DF89" s="25"/>
      <c r="DG89" s="25"/>
      <c r="DH89" s="25"/>
      <c r="DI89" s="25"/>
      <c r="DJ89" s="25"/>
      <c r="DK89" s="25"/>
      <c r="DL89" s="25"/>
      <c r="DM89" s="25"/>
      <c r="DN89" s="25"/>
      <c r="DO89" s="25"/>
      <c r="DP89" s="25"/>
      <c r="DQ89" s="25"/>
      <c r="DR89" s="25"/>
      <c r="DS89" s="25"/>
      <c r="DT89" s="25"/>
      <c r="DU89" s="25"/>
      <c r="DV89" s="25"/>
      <c r="DW89" s="25"/>
      <c r="DX89" s="25"/>
      <c r="DY89" s="25"/>
      <c r="DZ89" s="25"/>
      <c r="EA89" s="25"/>
      <c r="EB89" s="25"/>
      <c r="EC89" s="25"/>
      <c r="ED89" s="25"/>
      <c r="EE89" s="25"/>
      <c r="EF89" s="25"/>
      <c r="EG89" s="25"/>
      <c r="EH89" s="25"/>
      <c r="EI89" s="25"/>
      <c r="EJ89" s="25"/>
      <c r="EK89" s="25"/>
      <c r="EL89" s="25"/>
      <c r="EM89" s="25"/>
      <c r="EN89" s="25"/>
      <c r="EO89" s="25"/>
      <c r="EP89" s="25"/>
      <c r="EQ89" s="25"/>
      <c r="ER89" s="25"/>
      <c r="ES89" s="25"/>
      <c r="ET89" s="25"/>
    </row>
    <row r="90" spans="2:150" x14ac:dyDescent="0.25"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  <c r="BF90" s="25"/>
      <c r="BG90" s="25"/>
      <c r="BH90" s="25"/>
      <c r="BI90" s="25"/>
      <c r="BJ90" s="25"/>
      <c r="BK90" s="25"/>
      <c r="BL90" s="25"/>
      <c r="BM90" s="25"/>
      <c r="BN90" s="25"/>
      <c r="BO90" s="25"/>
      <c r="BP90" s="25"/>
      <c r="BQ90" s="25"/>
      <c r="BR90" s="25"/>
      <c r="BS90" s="25"/>
      <c r="BT90" s="25"/>
      <c r="BU90" s="25"/>
      <c r="BV90" s="25"/>
      <c r="BW90" s="25"/>
      <c r="BX90" s="25"/>
      <c r="BY90" s="25"/>
      <c r="BZ90" s="25"/>
      <c r="CA90" s="25"/>
      <c r="CB90" s="25"/>
      <c r="CC90" s="25"/>
      <c r="CD90" s="25"/>
      <c r="CE90" s="25"/>
      <c r="CF90" s="25"/>
      <c r="CG90" s="25"/>
      <c r="CH90" s="25"/>
      <c r="CI90" s="25"/>
      <c r="CJ90" s="25"/>
      <c r="CK90" s="25"/>
      <c r="CL90" s="25"/>
      <c r="CM90" s="25"/>
      <c r="CN90" s="25"/>
      <c r="CO90" s="25"/>
      <c r="CP90" s="25"/>
      <c r="CQ90" s="25"/>
      <c r="CR90" s="25"/>
      <c r="CS90" s="25"/>
      <c r="CT90" s="25"/>
      <c r="CU90" s="25"/>
      <c r="CV90" s="25"/>
      <c r="CW90" s="25"/>
      <c r="CX90" s="25"/>
      <c r="CY90" s="25"/>
      <c r="CZ90" s="25"/>
      <c r="DA90" s="25"/>
      <c r="DB90" s="25"/>
      <c r="DC90" s="25"/>
      <c r="DD90" s="25"/>
      <c r="DE90" s="25"/>
      <c r="DF90" s="25"/>
      <c r="DG90" s="25"/>
      <c r="DH90" s="25"/>
      <c r="DI90" s="25"/>
      <c r="DJ90" s="25"/>
      <c r="DK90" s="25"/>
      <c r="DL90" s="25"/>
      <c r="DM90" s="25"/>
      <c r="DN90" s="25"/>
      <c r="DO90" s="25"/>
      <c r="DP90" s="25"/>
      <c r="DQ90" s="25"/>
      <c r="DR90" s="25"/>
      <c r="DS90" s="25"/>
      <c r="DT90" s="25"/>
      <c r="DU90" s="25"/>
      <c r="DV90" s="25"/>
      <c r="DW90" s="25"/>
      <c r="DX90" s="25"/>
      <c r="DY90" s="25"/>
      <c r="DZ90" s="25"/>
      <c r="EA90" s="25"/>
      <c r="EB90" s="25"/>
      <c r="EC90" s="25"/>
      <c r="ED90" s="25"/>
      <c r="EE90" s="25"/>
      <c r="EF90" s="25"/>
      <c r="EG90" s="25"/>
      <c r="EH90" s="25"/>
      <c r="EI90" s="25"/>
      <c r="EJ90" s="25"/>
      <c r="EK90" s="25"/>
      <c r="EL90" s="25"/>
      <c r="EM90" s="25"/>
      <c r="EN90" s="25"/>
      <c r="EO90" s="25"/>
      <c r="EP90" s="25"/>
      <c r="EQ90" s="25"/>
      <c r="ER90" s="25"/>
      <c r="ES90" s="25"/>
      <c r="ET90" s="25"/>
    </row>
    <row r="91" spans="2:150" x14ac:dyDescent="0.25"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  <c r="BF91" s="25"/>
      <c r="BG91" s="25"/>
      <c r="BH91" s="25"/>
      <c r="BI91" s="25"/>
      <c r="BJ91" s="25"/>
      <c r="BK91" s="25"/>
      <c r="BL91" s="25"/>
      <c r="BM91" s="25"/>
      <c r="BN91" s="25"/>
      <c r="BO91" s="25"/>
      <c r="BP91" s="25"/>
      <c r="BQ91" s="25"/>
      <c r="BR91" s="25"/>
      <c r="BS91" s="25"/>
      <c r="BT91" s="25"/>
      <c r="BU91" s="25"/>
      <c r="BV91" s="25"/>
      <c r="BW91" s="25"/>
      <c r="BX91" s="25"/>
      <c r="BY91" s="25"/>
      <c r="BZ91" s="25"/>
      <c r="CA91" s="25"/>
      <c r="CB91" s="25"/>
      <c r="CC91" s="25"/>
      <c r="CD91" s="25"/>
      <c r="CE91" s="25"/>
      <c r="CF91" s="25"/>
      <c r="CG91" s="25"/>
      <c r="CH91" s="25"/>
      <c r="CI91" s="25"/>
      <c r="CJ91" s="25"/>
      <c r="CK91" s="25"/>
      <c r="CL91" s="25"/>
      <c r="CM91" s="25"/>
      <c r="CN91" s="25"/>
      <c r="CO91" s="25"/>
      <c r="CP91" s="25"/>
      <c r="CQ91" s="25"/>
      <c r="CR91" s="25"/>
      <c r="CS91" s="25"/>
      <c r="CT91" s="25"/>
      <c r="CU91" s="25"/>
      <c r="CV91" s="25"/>
      <c r="CW91" s="25"/>
      <c r="CX91" s="25"/>
      <c r="CY91" s="25"/>
      <c r="CZ91" s="25"/>
      <c r="DA91" s="25"/>
      <c r="DB91" s="25"/>
      <c r="DC91" s="25"/>
      <c r="DD91" s="25"/>
      <c r="DE91" s="25"/>
      <c r="DF91" s="25"/>
      <c r="DG91" s="25"/>
      <c r="DH91" s="25"/>
      <c r="DI91" s="25"/>
      <c r="DJ91" s="25"/>
      <c r="DK91" s="25"/>
      <c r="DL91" s="25"/>
      <c r="DM91" s="25"/>
      <c r="DN91" s="25"/>
      <c r="DO91" s="25"/>
      <c r="DP91" s="25"/>
      <c r="DQ91" s="25"/>
      <c r="DR91" s="25"/>
      <c r="DS91" s="25"/>
      <c r="DT91" s="25"/>
      <c r="DU91" s="25"/>
      <c r="DV91" s="25"/>
      <c r="DW91" s="25"/>
      <c r="DX91" s="25"/>
      <c r="DY91" s="25"/>
      <c r="DZ91" s="25"/>
      <c r="EA91" s="25"/>
      <c r="EB91" s="25"/>
      <c r="EC91" s="25"/>
      <c r="ED91" s="25"/>
      <c r="EE91" s="25"/>
      <c r="EF91" s="25"/>
      <c r="EG91" s="25"/>
      <c r="EH91" s="25"/>
      <c r="EI91" s="25"/>
      <c r="EJ91" s="25"/>
      <c r="EK91" s="25"/>
      <c r="EL91" s="25"/>
      <c r="EM91" s="25"/>
      <c r="EN91" s="25"/>
      <c r="EO91" s="25"/>
      <c r="EP91" s="25"/>
      <c r="EQ91" s="25"/>
      <c r="ER91" s="25"/>
      <c r="ES91" s="25"/>
      <c r="ET91" s="25"/>
    </row>
    <row r="92" spans="2:150" x14ac:dyDescent="0.25"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  <c r="BF92" s="25"/>
      <c r="BG92" s="25"/>
      <c r="BH92" s="25"/>
      <c r="BI92" s="25"/>
      <c r="BJ92" s="25"/>
      <c r="BK92" s="25"/>
      <c r="BL92" s="25"/>
      <c r="BM92" s="25"/>
      <c r="BN92" s="25"/>
      <c r="BO92" s="25"/>
      <c r="BP92" s="25"/>
      <c r="BQ92" s="25"/>
      <c r="BR92" s="25"/>
      <c r="BS92" s="25"/>
      <c r="BT92" s="25"/>
      <c r="BU92" s="25"/>
      <c r="BV92" s="25"/>
      <c r="BW92" s="25"/>
      <c r="BX92" s="25"/>
      <c r="BY92" s="25"/>
      <c r="BZ92" s="25"/>
      <c r="CA92" s="25"/>
      <c r="CB92" s="25"/>
      <c r="CC92" s="25"/>
      <c r="CD92" s="25"/>
      <c r="CE92" s="25"/>
      <c r="CF92" s="25"/>
      <c r="CG92" s="25"/>
      <c r="CH92" s="25"/>
      <c r="CI92" s="25"/>
      <c r="CJ92" s="25"/>
      <c r="CK92" s="25"/>
      <c r="CL92" s="25"/>
      <c r="CM92" s="25"/>
      <c r="CN92" s="25"/>
      <c r="CO92" s="25"/>
      <c r="CP92" s="25"/>
      <c r="CQ92" s="25"/>
      <c r="CR92" s="25"/>
      <c r="CS92" s="25"/>
      <c r="CT92" s="25"/>
      <c r="CU92" s="25"/>
      <c r="CV92" s="25"/>
      <c r="CW92" s="25"/>
      <c r="CX92" s="25"/>
      <c r="CY92" s="25"/>
      <c r="CZ92" s="25"/>
      <c r="DA92" s="25"/>
      <c r="DB92" s="25"/>
      <c r="DC92" s="25"/>
      <c r="DD92" s="25"/>
      <c r="DE92" s="25"/>
      <c r="DF92" s="25"/>
      <c r="DG92" s="25"/>
      <c r="DH92" s="25"/>
      <c r="DI92" s="25"/>
      <c r="DJ92" s="25"/>
      <c r="DK92" s="25"/>
      <c r="DL92" s="25"/>
      <c r="DM92" s="25"/>
      <c r="DN92" s="25"/>
      <c r="DO92" s="25"/>
      <c r="DP92" s="25"/>
      <c r="DQ92" s="25"/>
      <c r="DR92" s="25"/>
      <c r="DS92" s="25"/>
      <c r="DT92" s="25"/>
      <c r="DU92" s="25"/>
      <c r="DV92" s="25"/>
      <c r="DW92" s="25"/>
      <c r="DX92" s="25"/>
      <c r="DY92" s="25"/>
      <c r="DZ92" s="25"/>
      <c r="EA92" s="25"/>
      <c r="EB92" s="25"/>
      <c r="EC92" s="25"/>
      <c r="ED92" s="25"/>
      <c r="EE92" s="25"/>
      <c r="EF92" s="25"/>
      <c r="EG92" s="25"/>
      <c r="EH92" s="25"/>
      <c r="EI92" s="25"/>
      <c r="EJ92" s="25"/>
      <c r="EK92" s="25"/>
      <c r="EL92" s="25"/>
      <c r="EM92" s="25"/>
      <c r="EN92" s="25"/>
      <c r="EO92" s="25"/>
      <c r="EP92" s="25"/>
      <c r="EQ92" s="25"/>
      <c r="ER92" s="25"/>
      <c r="ES92" s="25"/>
      <c r="ET92" s="25"/>
    </row>
    <row r="93" spans="2:150" x14ac:dyDescent="0.25"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  <c r="BF93" s="25"/>
      <c r="BG93" s="25"/>
      <c r="BH93" s="25"/>
      <c r="BI93" s="25"/>
      <c r="BJ93" s="25"/>
      <c r="BK93" s="25"/>
      <c r="BL93" s="25"/>
      <c r="BM93" s="25"/>
      <c r="BN93" s="25"/>
      <c r="BO93" s="25"/>
      <c r="BP93" s="25"/>
      <c r="BQ93" s="25"/>
      <c r="BR93" s="25"/>
      <c r="BS93" s="25"/>
      <c r="BT93" s="25"/>
      <c r="BU93" s="25"/>
      <c r="BV93" s="25"/>
      <c r="BW93" s="25"/>
      <c r="BX93" s="25"/>
      <c r="BY93" s="25"/>
      <c r="BZ93" s="25"/>
      <c r="CA93" s="25"/>
      <c r="CB93" s="25"/>
      <c r="CC93" s="25"/>
      <c r="CD93" s="25"/>
      <c r="CE93" s="25"/>
      <c r="CF93" s="25"/>
      <c r="CG93" s="25"/>
      <c r="CH93" s="25"/>
      <c r="CI93" s="25"/>
      <c r="CJ93" s="25"/>
      <c r="CK93" s="25"/>
      <c r="CL93" s="25"/>
      <c r="CM93" s="25"/>
      <c r="CN93" s="25"/>
      <c r="CO93" s="25"/>
      <c r="CP93" s="25"/>
      <c r="CQ93" s="25"/>
      <c r="CR93" s="25"/>
      <c r="CS93" s="25"/>
      <c r="CT93" s="25"/>
      <c r="CU93" s="25"/>
      <c r="CV93" s="25"/>
      <c r="CW93" s="25"/>
      <c r="CX93" s="25"/>
      <c r="CY93" s="25"/>
      <c r="CZ93" s="25"/>
      <c r="DA93" s="25"/>
      <c r="DB93" s="25"/>
      <c r="DC93" s="25"/>
      <c r="DD93" s="25"/>
      <c r="DE93" s="25"/>
      <c r="DF93" s="25"/>
      <c r="DG93" s="25"/>
      <c r="DH93" s="25"/>
      <c r="DI93" s="25"/>
      <c r="DJ93" s="25"/>
      <c r="DK93" s="25"/>
      <c r="DL93" s="25"/>
      <c r="DM93" s="25"/>
      <c r="DN93" s="25"/>
      <c r="DO93" s="25"/>
      <c r="DP93" s="25"/>
      <c r="DQ93" s="25"/>
      <c r="DR93" s="25"/>
      <c r="DS93" s="25"/>
      <c r="DT93" s="25"/>
      <c r="DU93" s="25"/>
      <c r="DV93" s="25"/>
      <c r="DW93" s="25"/>
      <c r="DX93" s="25"/>
      <c r="DY93" s="25"/>
      <c r="DZ93" s="25"/>
      <c r="EA93" s="25"/>
      <c r="EB93" s="25"/>
      <c r="EC93" s="25"/>
      <c r="ED93" s="25"/>
      <c r="EE93" s="25"/>
      <c r="EF93" s="25"/>
      <c r="EG93" s="25"/>
      <c r="EH93" s="25"/>
      <c r="EI93" s="25"/>
      <c r="EJ93" s="25"/>
      <c r="EK93" s="25"/>
      <c r="EL93" s="25"/>
      <c r="EM93" s="25"/>
      <c r="EN93" s="25"/>
      <c r="EO93" s="25"/>
      <c r="EP93" s="25"/>
      <c r="EQ93" s="25"/>
      <c r="ER93" s="25"/>
      <c r="ES93" s="25"/>
      <c r="ET93" s="25"/>
    </row>
    <row r="94" spans="2:150" x14ac:dyDescent="0.25"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  <c r="AS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  <c r="BF94" s="25"/>
      <c r="BG94" s="25"/>
      <c r="BH94" s="25"/>
      <c r="BI94" s="25"/>
      <c r="BJ94" s="25"/>
      <c r="BK94" s="25"/>
      <c r="BL94" s="25"/>
      <c r="BM94" s="25"/>
      <c r="BN94" s="25"/>
      <c r="BO94" s="25"/>
      <c r="BP94" s="25"/>
      <c r="BQ94" s="25"/>
      <c r="BR94" s="25"/>
      <c r="BS94" s="25"/>
      <c r="BT94" s="25"/>
      <c r="BU94" s="25"/>
      <c r="BV94" s="25"/>
      <c r="BW94" s="25"/>
      <c r="BX94" s="25"/>
      <c r="BY94" s="25"/>
      <c r="BZ94" s="25"/>
      <c r="CA94" s="25"/>
      <c r="CB94" s="25"/>
      <c r="CC94" s="25"/>
      <c r="CD94" s="25"/>
      <c r="CE94" s="25"/>
      <c r="CF94" s="25"/>
      <c r="CG94" s="25"/>
      <c r="CH94" s="25"/>
      <c r="CI94" s="25"/>
      <c r="CJ94" s="25"/>
      <c r="CK94" s="25"/>
      <c r="CL94" s="25"/>
      <c r="CM94" s="25"/>
      <c r="CN94" s="25"/>
      <c r="CO94" s="25"/>
      <c r="CP94" s="25"/>
      <c r="CQ94" s="25"/>
      <c r="CR94" s="25"/>
      <c r="CS94" s="25"/>
      <c r="CT94" s="25"/>
      <c r="CU94" s="25"/>
      <c r="CV94" s="25"/>
      <c r="CW94" s="25"/>
      <c r="CX94" s="25"/>
      <c r="CY94" s="25"/>
      <c r="CZ94" s="25"/>
      <c r="DA94" s="25"/>
      <c r="DB94" s="25"/>
      <c r="DC94" s="25"/>
      <c r="DD94" s="25"/>
      <c r="DE94" s="25"/>
      <c r="DF94" s="25"/>
      <c r="DG94" s="25"/>
      <c r="DH94" s="25"/>
      <c r="DI94" s="25"/>
      <c r="DJ94" s="25"/>
      <c r="DK94" s="25"/>
      <c r="DL94" s="25"/>
      <c r="DM94" s="25"/>
      <c r="DN94" s="25"/>
      <c r="DO94" s="25"/>
      <c r="DP94" s="25"/>
      <c r="DQ94" s="25"/>
      <c r="DR94" s="25"/>
      <c r="DS94" s="25"/>
      <c r="DT94" s="25"/>
      <c r="DU94" s="25"/>
      <c r="DV94" s="25"/>
      <c r="DW94" s="25"/>
      <c r="DX94" s="25"/>
      <c r="DY94" s="25"/>
      <c r="DZ94" s="25"/>
      <c r="EA94" s="25"/>
      <c r="EB94" s="25"/>
      <c r="EC94" s="25"/>
      <c r="ED94" s="25"/>
      <c r="EE94" s="25"/>
      <c r="EF94" s="25"/>
      <c r="EG94" s="25"/>
      <c r="EH94" s="25"/>
      <c r="EI94" s="25"/>
      <c r="EJ94" s="25"/>
      <c r="EK94" s="25"/>
      <c r="EL94" s="25"/>
      <c r="EM94" s="25"/>
      <c r="EN94" s="25"/>
      <c r="EO94" s="25"/>
      <c r="EP94" s="25"/>
      <c r="EQ94" s="25"/>
      <c r="ER94" s="25"/>
      <c r="ES94" s="25"/>
      <c r="ET94" s="25"/>
    </row>
    <row r="95" spans="2:150" x14ac:dyDescent="0.25"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  <c r="BF95" s="25"/>
      <c r="BG95" s="25"/>
      <c r="BH95" s="25"/>
      <c r="BI95" s="25"/>
      <c r="BJ95" s="25"/>
      <c r="BK95" s="25"/>
      <c r="BL95" s="25"/>
      <c r="BM95" s="25"/>
      <c r="BN95" s="25"/>
      <c r="BO95" s="25"/>
      <c r="BP95" s="25"/>
      <c r="BQ95" s="25"/>
      <c r="BR95" s="25"/>
      <c r="BS95" s="25"/>
      <c r="BT95" s="25"/>
      <c r="BU95" s="25"/>
      <c r="BV95" s="25"/>
      <c r="BW95" s="25"/>
      <c r="BX95" s="25"/>
      <c r="BY95" s="25"/>
      <c r="BZ95" s="25"/>
      <c r="CA95" s="25"/>
      <c r="CB95" s="25"/>
      <c r="CC95" s="25"/>
      <c r="CD95" s="25"/>
      <c r="CE95" s="25"/>
      <c r="CF95" s="25"/>
      <c r="CG95" s="25"/>
      <c r="CH95" s="25"/>
      <c r="CI95" s="25"/>
      <c r="CJ95" s="25"/>
      <c r="CK95" s="25"/>
      <c r="CL95" s="25"/>
      <c r="CM95" s="25"/>
      <c r="CN95" s="25"/>
      <c r="CO95" s="25"/>
      <c r="CP95" s="25"/>
      <c r="CQ95" s="25"/>
      <c r="CR95" s="25"/>
      <c r="CS95" s="25"/>
      <c r="CT95" s="25"/>
      <c r="CU95" s="25"/>
      <c r="CV95" s="25"/>
      <c r="CW95" s="25"/>
      <c r="CX95" s="25"/>
      <c r="CY95" s="25"/>
      <c r="CZ95" s="25"/>
      <c r="DA95" s="25"/>
      <c r="DB95" s="25"/>
      <c r="DC95" s="25"/>
      <c r="DD95" s="25"/>
      <c r="DE95" s="25"/>
      <c r="DF95" s="25"/>
      <c r="DG95" s="25"/>
      <c r="DH95" s="25"/>
      <c r="DI95" s="25"/>
      <c r="DJ95" s="25"/>
      <c r="DK95" s="25"/>
      <c r="DL95" s="25"/>
      <c r="DM95" s="25"/>
      <c r="DN95" s="25"/>
      <c r="DO95" s="25"/>
      <c r="DP95" s="25"/>
      <c r="DQ95" s="25"/>
      <c r="DR95" s="25"/>
      <c r="DS95" s="25"/>
      <c r="DT95" s="25"/>
      <c r="DU95" s="25"/>
      <c r="DV95" s="25"/>
      <c r="DW95" s="25"/>
      <c r="DX95" s="25"/>
      <c r="DY95" s="25"/>
      <c r="DZ95" s="25"/>
      <c r="EA95" s="25"/>
      <c r="EB95" s="25"/>
      <c r="EC95" s="25"/>
      <c r="ED95" s="25"/>
      <c r="EE95" s="25"/>
      <c r="EF95" s="25"/>
      <c r="EG95" s="25"/>
      <c r="EH95" s="25"/>
      <c r="EI95" s="25"/>
      <c r="EJ95" s="25"/>
      <c r="EK95" s="25"/>
      <c r="EL95" s="25"/>
      <c r="EM95" s="25"/>
      <c r="EN95" s="25"/>
      <c r="EO95" s="25"/>
      <c r="EP95" s="25"/>
      <c r="EQ95" s="25"/>
      <c r="ER95" s="25"/>
      <c r="ES95" s="25"/>
      <c r="ET95" s="25"/>
    </row>
    <row r="96" spans="2:150" x14ac:dyDescent="0.25"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  <c r="AQ96" s="25"/>
      <c r="AR96" s="25"/>
      <c r="AS96" s="25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  <c r="BF96" s="25"/>
      <c r="BG96" s="25"/>
      <c r="BH96" s="25"/>
      <c r="BI96" s="25"/>
      <c r="BJ96" s="25"/>
      <c r="BK96" s="25"/>
      <c r="BL96" s="25"/>
      <c r="BM96" s="25"/>
      <c r="BN96" s="25"/>
      <c r="BO96" s="25"/>
      <c r="BP96" s="25"/>
      <c r="BQ96" s="25"/>
      <c r="BR96" s="25"/>
      <c r="BS96" s="25"/>
      <c r="BT96" s="25"/>
      <c r="BU96" s="25"/>
      <c r="BV96" s="25"/>
      <c r="BW96" s="25"/>
      <c r="BX96" s="25"/>
      <c r="BY96" s="25"/>
      <c r="BZ96" s="25"/>
      <c r="CA96" s="25"/>
      <c r="CB96" s="25"/>
      <c r="CC96" s="25"/>
      <c r="CD96" s="25"/>
      <c r="CE96" s="25"/>
      <c r="CF96" s="25"/>
      <c r="CG96" s="25"/>
      <c r="CH96" s="25"/>
      <c r="CI96" s="25"/>
      <c r="CJ96" s="25"/>
      <c r="CK96" s="25"/>
      <c r="CL96" s="25"/>
      <c r="CM96" s="25"/>
      <c r="CN96" s="25"/>
      <c r="CO96" s="25"/>
      <c r="CP96" s="25"/>
      <c r="CQ96" s="25"/>
      <c r="CR96" s="25"/>
      <c r="CS96" s="25"/>
      <c r="CT96" s="25"/>
      <c r="CU96" s="25"/>
      <c r="CV96" s="25"/>
      <c r="CW96" s="25"/>
      <c r="CX96" s="25"/>
      <c r="CY96" s="25"/>
      <c r="CZ96" s="25"/>
      <c r="DA96" s="25"/>
      <c r="DB96" s="25"/>
      <c r="DC96" s="25"/>
      <c r="DD96" s="25"/>
      <c r="DE96" s="25"/>
      <c r="DF96" s="25"/>
      <c r="DG96" s="25"/>
      <c r="DH96" s="25"/>
      <c r="DI96" s="25"/>
      <c r="DJ96" s="25"/>
      <c r="DK96" s="25"/>
      <c r="DL96" s="25"/>
      <c r="DM96" s="25"/>
      <c r="DN96" s="25"/>
      <c r="DO96" s="25"/>
      <c r="DP96" s="25"/>
      <c r="DQ96" s="25"/>
      <c r="DR96" s="25"/>
      <c r="DS96" s="25"/>
      <c r="DT96" s="25"/>
      <c r="DU96" s="25"/>
      <c r="DV96" s="25"/>
      <c r="DW96" s="25"/>
      <c r="DX96" s="25"/>
      <c r="DY96" s="25"/>
      <c r="DZ96" s="25"/>
      <c r="EA96" s="25"/>
      <c r="EB96" s="25"/>
      <c r="EC96" s="25"/>
      <c r="ED96" s="25"/>
      <c r="EE96" s="25"/>
      <c r="EF96" s="25"/>
      <c r="EG96" s="25"/>
      <c r="EH96" s="25"/>
      <c r="EI96" s="25"/>
      <c r="EJ96" s="25"/>
      <c r="EK96" s="25"/>
      <c r="EL96" s="25"/>
      <c r="EM96" s="25"/>
      <c r="EN96" s="25"/>
      <c r="EO96" s="25"/>
      <c r="EP96" s="25"/>
      <c r="EQ96" s="25"/>
      <c r="ER96" s="25"/>
      <c r="ES96" s="25"/>
      <c r="ET96" s="25"/>
    </row>
    <row r="97" spans="9:150" x14ac:dyDescent="0.25"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  <c r="AN97" s="25"/>
      <c r="AO97" s="25"/>
      <c r="AP97" s="25"/>
      <c r="AQ97" s="25"/>
      <c r="AR97" s="25"/>
      <c r="AS97" s="25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  <c r="BF97" s="25"/>
      <c r="BG97" s="25"/>
      <c r="BH97" s="25"/>
      <c r="BI97" s="25"/>
      <c r="BJ97" s="25"/>
      <c r="BK97" s="25"/>
      <c r="BL97" s="25"/>
      <c r="BM97" s="25"/>
      <c r="BN97" s="25"/>
      <c r="BO97" s="25"/>
      <c r="BP97" s="25"/>
      <c r="BQ97" s="25"/>
      <c r="BR97" s="25"/>
      <c r="BS97" s="25"/>
      <c r="BT97" s="25"/>
      <c r="BU97" s="25"/>
      <c r="BV97" s="25"/>
      <c r="BW97" s="25"/>
      <c r="BX97" s="25"/>
      <c r="BY97" s="25"/>
      <c r="BZ97" s="25"/>
      <c r="CA97" s="25"/>
      <c r="CB97" s="25"/>
      <c r="CC97" s="25"/>
      <c r="CD97" s="25"/>
      <c r="CE97" s="25"/>
      <c r="CF97" s="25"/>
      <c r="CG97" s="25"/>
      <c r="CH97" s="25"/>
      <c r="CI97" s="25"/>
      <c r="CJ97" s="25"/>
      <c r="CK97" s="25"/>
      <c r="CL97" s="25"/>
      <c r="CM97" s="25"/>
      <c r="CN97" s="25"/>
      <c r="CO97" s="25"/>
      <c r="CP97" s="25"/>
      <c r="CQ97" s="25"/>
      <c r="CR97" s="25"/>
      <c r="CS97" s="25"/>
      <c r="CT97" s="25"/>
      <c r="CU97" s="25"/>
      <c r="CV97" s="25"/>
      <c r="CW97" s="25"/>
      <c r="CX97" s="25"/>
      <c r="CY97" s="25"/>
      <c r="CZ97" s="25"/>
      <c r="DA97" s="25"/>
      <c r="DB97" s="25"/>
      <c r="DC97" s="25"/>
      <c r="DD97" s="25"/>
      <c r="DE97" s="25"/>
      <c r="DF97" s="25"/>
      <c r="DG97" s="25"/>
      <c r="DH97" s="25"/>
      <c r="DI97" s="25"/>
      <c r="DJ97" s="25"/>
      <c r="DK97" s="25"/>
      <c r="DL97" s="25"/>
      <c r="DM97" s="25"/>
      <c r="DN97" s="25"/>
      <c r="DO97" s="25"/>
      <c r="DP97" s="25"/>
      <c r="DQ97" s="25"/>
      <c r="DR97" s="25"/>
      <c r="DS97" s="25"/>
      <c r="DT97" s="25"/>
      <c r="DU97" s="25"/>
      <c r="DV97" s="25"/>
      <c r="DW97" s="25"/>
      <c r="DX97" s="25"/>
      <c r="DY97" s="25"/>
      <c r="DZ97" s="25"/>
      <c r="EA97" s="25"/>
      <c r="EB97" s="25"/>
      <c r="EC97" s="25"/>
      <c r="ED97" s="25"/>
      <c r="EE97" s="25"/>
      <c r="EF97" s="25"/>
      <c r="EG97" s="25"/>
      <c r="EH97" s="25"/>
      <c r="EI97" s="25"/>
      <c r="EJ97" s="25"/>
      <c r="EK97" s="25"/>
      <c r="EL97" s="25"/>
      <c r="EM97" s="25"/>
      <c r="EN97" s="25"/>
      <c r="EO97" s="25"/>
      <c r="EP97" s="25"/>
      <c r="EQ97" s="25"/>
      <c r="ER97" s="25"/>
      <c r="ES97" s="25"/>
      <c r="ET97" s="25"/>
    </row>
    <row r="98" spans="9:150" x14ac:dyDescent="0.25"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  <c r="BF98" s="25"/>
      <c r="BG98" s="25"/>
      <c r="BH98" s="25"/>
      <c r="BI98" s="25"/>
      <c r="BJ98" s="25"/>
      <c r="BK98" s="25"/>
      <c r="BL98" s="25"/>
      <c r="BM98" s="25"/>
      <c r="BN98" s="25"/>
      <c r="BO98" s="25"/>
      <c r="BP98" s="25"/>
      <c r="BQ98" s="25"/>
      <c r="BR98" s="25"/>
      <c r="BS98" s="25"/>
      <c r="BT98" s="25"/>
      <c r="BU98" s="25"/>
      <c r="BV98" s="25"/>
      <c r="BW98" s="25"/>
      <c r="BX98" s="25"/>
      <c r="BY98" s="25"/>
      <c r="BZ98" s="25"/>
      <c r="CA98" s="25"/>
      <c r="CB98" s="25"/>
      <c r="CC98" s="25"/>
      <c r="CD98" s="25"/>
      <c r="CE98" s="25"/>
      <c r="CF98" s="25"/>
      <c r="CG98" s="25"/>
      <c r="CH98" s="25"/>
      <c r="CI98" s="25"/>
      <c r="CJ98" s="25"/>
      <c r="CK98" s="25"/>
      <c r="CL98" s="25"/>
      <c r="CM98" s="25"/>
      <c r="CN98" s="25"/>
      <c r="CO98" s="25"/>
      <c r="CP98" s="25"/>
      <c r="CQ98" s="25"/>
      <c r="CR98" s="25"/>
      <c r="CS98" s="25"/>
      <c r="CT98" s="25"/>
      <c r="CU98" s="25"/>
      <c r="CV98" s="25"/>
      <c r="CW98" s="25"/>
      <c r="CX98" s="25"/>
      <c r="CY98" s="25"/>
      <c r="CZ98" s="25"/>
      <c r="DA98" s="25"/>
      <c r="DB98" s="25"/>
      <c r="DC98" s="25"/>
      <c r="DD98" s="25"/>
      <c r="DE98" s="25"/>
      <c r="DF98" s="25"/>
      <c r="DG98" s="25"/>
      <c r="DH98" s="25"/>
      <c r="DI98" s="25"/>
      <c r="DJ98" s="25"/>
      <c r="DK98" s="25"/>
      <c r="DL98" s="25"/>
      <c r="DM98" s="25"/>
      <c r="DN98" s="25"/>
      <c r="DO98" s="25"/>
      <c r="DP98" s="25"/>
      <c r="DQ98" s="25"/>
      <c r="DR98" s="25"/>
      <c r="DS98" s="25"/>
      <c r="DT98" s="25"/>
      <c r="DU98" s="25"/>
      <c r="DV98" s="25"/>
      <c r="DW98" s="25"/>
      <c r="DX98" s="25"/>
      <c r="DY98" s="25"/>
      <c r="DZ98" s="25"/>
      <c r="EA98" s="25"/>
      <c r="EB98" s="25"/>
      <c r="EC98" s="25"/>
      <c r="ED98" s="25"/>
      <c r="EE98" s="25"/>
      <c r="EF98" s="25"/>
      <c r="EG98" s="25"/>
      <c r="EH98" s="25"/>
      <c r="EI98" s="25"/>
      <c r="EJ98" s="25"/>
      <c r="EK98" s="25"/>
      <c r="EL98" s="25"/>
      <c r="EM98" s="25"/>
      <c r="EN98" s="25"/>
      <c r="EO98" s="25"/>
      <c r="EP98" s="25"/>
      <c r="EQ98" s="25"/>
      <c r="ER98" s="25"/>
      <c r="ES98" s="25"/>
      <c r="ET98" s="25"/>
    </row>
    <row r="99" spans="9:150" x14ac:dyDescent="0.25"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5"/>
      <c r="AN99" s="25"/>
      <c r="AO99" s="25"/>
      <c r="AP99" s="25"/>
      <c r="AQ99" s="25"/>
      <c r="AR99" s="25"/>
      <c r="AS99" s="25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  <c r="BF99" s="25"/>
      <c r="BG99" s="25"/>
      <c r="BH99" s="25"/>
      <c r="BI99" s="25"/>
      <c r="BJ99" s="25"/>
      <c r="BK99" s="25"/>
      <c r="BL99" s="25"/>
      <c r="BM99" s="25"/>
      <c r="BN99" s="25"/>
      <c r="BO99" s="25"/>
      <c r="BP99" s="25"/>
      <c r="BQ99" s="25"/>
      <c r="BR99" s="25"/>
      <c r="BS99" s="25"/>
      <c r="BT99" s="25"/>
      <c r="BU99" s="25"/>
      <c r="BV99" s="25"/>
      <c r="BW99" s="25"/>
      <c r="BX99" s="25"/>
      <c r="BY99" s="25"/>
      <c r="BZ99" s="25"/>
      <c r="CA99" s="25"/>
      <c r="CB99" s="25"/>
      <c r="CC99" s="25"/>
      <c r="CD99" s="25"/>
      <c r="CE99" s="25"/>
      <c r="CF99" s="25"/>
      <c r="CG99" s="25"/>
      <c r="CH99" s="25"/>
      <c r="CI99" s="25"/>
      <c r="CJ99" s="25"/>
      <c r="CK99" s="25"/>
      <c r="CL99" s="25"/>
      <c r="CM99" s="25"/>
      <c r="CN99" s="25"/>
      <c r="CO99" s="25"/>
      <c r="CP99" s="25"/>
      <c r="CQ99" s="25"/>
      <c r="CR99" s="25"/>
      <c r="CS99" s="25"/>
      <c r="CT99" s="25"/>
      <c r="CU99" s="25"/>
      <c r="CV99" s="25"/>
      <c r="CW99" s="25"/>
      <c r="CX99" s="25"/>
      <c r="CY99" s="25"/>
      <c r="CZ99" s="25"/>
      <c r="DA99" s="25"/>
      <c r="DB99" s="25"/>
      <c r="DC99" s="25"/>
      <c r="DD99" s="25"/>
      <c r="DE99" s="25"/>
      <c r="DF99" s="25"/>
      <c r="DG99" s="25"/>
      <c r="DH99" s="25"/>
      <c r="DI99" s="25"/>
      <c r="DJ99" s="25"/>
      <c r="DK99" s="25"/>
      <c r="DL99" s="25"/>
      <c r="DM99" s="25"/>
      <c r="DN99" s="25"/>
      <c r="DO99" s="25"/>
      <c r="DP99" s="25"/>
      <c r="DQ99" s="25"/>
      <c r="DR99" s="25"/>
      <c r="DS99" s="25"/>
      <c r="DT99" s="25"/>
      <c r="DU99" s="25"/>
      <c r="DV99" s="25"/>
      <c r="DW99" s="25"/>
      <c r="DX99" s="25"/>
      <c r="DY99" s="25"/>
      <c r="DZ99" s="25"/>
      <c r="EA99" s="25"/>
      <c r="EB99" s="25"/>
      <c r="EC99" s="25"/>
      <c r="ED99" s="25"/>
      <c r="EE99" s="25"/>
      <c r="EF99" s="25"/>
      <c r="EG99" s="25"/>
      <c r="EH99" s="25"/>
      <c r="EI99" s="25"/>
      <c r="EJ99" s="25"/>
      <c r="EK99" s="25"/>
      <c r="EL99" s="25"/>
      <c r="EM99" s="25"/>
      <c r="EN99" s="25"/>
      <c r="EO99" s="25"/>
      <c r="EP99" s="25"/>
      <c r="EQ99" s="25"/>
      <c r="ER99" s="25"/>
      <c r="ES99" s="25"/>
      <c r="ET99" s="25"/>
    </row>
    <row r="100" spans="9:150" x14ac:dyDescent="0.25"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  <c r="AN100" s="25"/>
      <c r="AO100" s="25"/>
      <c r="AP100" s="25"/>
      <c r="AQ100" s="25"/>
      <c r="AR100" s="25"/>
      <c r="AS100" s="25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  <c r="BF100" s="25"/>
      <c r="BG100" s="25"/>
      <c r="BH100" s="25"/>
      <c r="BI100" s="25"/>
      <c r="BJ100" s="25"/>
      <c r="BK100" s="25"/>
      <c r="BL100" s="25"/>
      <c r="BM100" s="25"/>
      <c r="BN100" s="25"/>
      <c r="BO100" s="25"/>
      <c r="BP100" s="25"/>
      <c r="BQ100" s="25"/>
      <c r="BR100" s="25"/>
      <c r="BS100" s="25"/>
      <c r="BT100" s="25"/>
      <c r="BU100" s="25"/>
      <c r="BV100" s="25"/>
      <c r="BW100" s="25"/>
      <c r="BX100" s="25"/>
      <c r="BY100" s="25"/>
      <c r="BZ100" s="25"/>
      <c r="CA100" s="25"/>
      <c r="CB100" s="25"/>
      <c r="CC100" s="25"/>
      <c r="CD100" s="25"/>
      <c r="CE100" s="25"/>
      <c r="CF100" s="25"/>
      <c r="CG100" s="25"/>
      <c r="CH100" s="25"/>
      <c r="CI100" s="25"/>
      <c r="CJ100" s="25"/>
      <c r="CK100" s="25"/>
      <c r="CL100" s="25"/>
      <c r="CM100" s="25"/>
      <c r="CN100" s="25"/>
      <c r="CO100" s="25"/>
      <c r="CP100" s="25"/>
      <c r="CQ100" s="25"/>
      <c r="CR100" s="25"/>
      <c r="CS100" s="25"/>
      <c r="CT100" s="25"/>
      <c r="CU100" s="25"/>
      <c r="CV100" s="25"/>
      <c r="CW100" s="25"/>
      <c r="CX100" s="25"/>
      <c r="CY100" s="25"/>
      <c r="CZ100" s="25"/>
      <c r="DA100" s="25"/>
      <c r="DB100" s="25"/>
      <c r="DC100" s="25"/>
      <c r="DD100" s="25"/>
      <c r="DE100" s="25"/>
      <c r="DF100" s="25"/>
      <c r="DG100" s="25"/>
      <c r="DH100" s="25"/>
      <c r="DI100" s="25"/>
      <c r="DJ100" s="25"/>
      <c r="DK100" s="25"/>
      <c r="DL100" s="25"/>
      <c r="DM100" s="25"/>
      <c r="DN100" s="25"/>
      <c r="DO100" s="25"/>
      <c r="DP100" s="25"/>
      <c r="DQ100" s="25"/>
      <c r="DR100" s="25"/>
      <c r="DS100" s="25"/>
      <c r="DT100" s="25"/>
      <c r="DU100" s="25"/>
      <c r="DV100" s="25"/>
      <c r="DW100" s="25"/>
      <c r="DX100" s="25"/>
      <c r="DY100" s="25"/>
      <c r="DZ100" s="25"/>
      <c r="EA100" s="25"/>
      <c r="EB100" s="25"/>
      <c r="EC100" s="25"/>
      <c r="ED100" s="25"/>
      <c r="EE100" s="25"/>
      <c r="EF100" s="25"/>
      <c r="EG100" s="25"/>
      <c r="EH100" s="25"/>
      <c r="EI100" s="25"/>
      <c r="EJ100" s="25"/>
      <c r="EK100" s="25"/>
      <c r="EL100" s="25"/>
      <c r="EM100" s="25"/>
      <c r="EN100" s="25"/>
      <c r="EO100" s="25"/>
      <c r="EP100" s="25"/>
      <c r="EQ100" s="25"/>
      <c r="ER100" s="25"/>
      <c r="ES100" s="25"/>
      <c r="ET100" s="25"/>
    </row>
    <row r="101" spans="9:150" x14ac:dyDescent="0.25"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  <c r="AN101" s="25"/>
      <c r="AO101" s="25"/>
      <c r="AP101" s="25"/>
      <c r="AQ101" s="25"/>
      <c r="AR101" s="25"/>
      <c r="AS101" s="25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  <c r="BF101" s="25"/>
      <c r="BG101" s="25"/>
      <c r="BH101" s="25"/>
      <c r="BI101" s="25"/>
      <c r="BJ101" s="25"/>
      <c r="BK101" s="25"/>
      <c r="BL101" s="25"/>
      <c r="BM101" s="25"/>
      <c r="BN101" s="25"/>
      <c r="BO101" s="25"/>
      <c r="BP101" s="25"/>
      <c r="BQ101" s="25"/>
      <c r="BR101" s="25"/>
      <c r="BS101" s="25"/>
      <c r="BT101" s="25"/>
      <c r="BU101" s="25"/>
      <c r="BV101" s="25"/>
      <c r="BW101" s="25"/>
      <c r="BX101" s="25"/>
      <c r="BY101" s="25"/>
      <c r="BZ101" s="25"/>
      <c r="CA101" s="25"/>
      <c r="CB101" s="25"/>
      <c r="CC101" s="25"/>
      <c r="CD101" s="25"/>
      <c r="CE101" s="25"/>
      <c r="CF101" s="25"/>
      <c r="CG101" s="25"/>
      <c r="CH101" s="25"/>
      <c r="CI101" s="25"/>
      <c r="CJ101" s="25"/>
      <c r="CK101" s="25"/>
      <c r="CL101" s="25"/>
      <c r="CM101" s="25"/>
      <c r="CN101" s="25"/>
      <c r="CO101" s="25"/>
      <c r="CP101" s="25"/>
      <c r="CQ101" s="25"/>
      <c r="CR101" s="25"/>
      <c r="CS101" s="25"/>
      <c r="CT101" s="25"/>
      <c r="CU101" s="25"/>
      <c r="CV101" s="25"/>
      <c r="CW101" s="25"/>
      <c r="CX101" s="25"/>
      <c r="CY101" s="25"/>
      <c r="CZ101" s="25"/>
      <c r="DA101" s="25"/>
      <c r="DB101" s="25"/>
      <c r="DC101" s="25"/>
      <c r="DD101" s="25"/>
      <c r="DE101" s="25"/>
      <c r="DF101" s="25"/>
      <c r="DG101" s="25"/>
      <c r="DH101" s="25"/>
      <c r="DI101" s="25"/>
      <c r="DJ101" s="25"/>
      <c r="DK101" s="25"/>
      <c r="DL101" s="25"/>
      <c r="DM101" s="25"/>
      <c r="DN101" s="25"/>
      <c r="DO101" s="25"/>
      <c r="DP101" s="25"/>
      <c r="DQ101" s="25"/>
      <c r="DR101" s="25"/>
      <c r="DS101" s="25"/>
      <c r="DT101" s="25"/>
      <c r="DU101" s="25"/>
      <c r="DV101" s="25"/>
      <c r="DW101" s="25"/>
      <c r="DX101" s="25"/>
      <c r="DY101" s="25"/>
      <c r="DZ101" s="25"/>
      <c r="EA101" s="25"/>
      <c r="EB101" s="25"/>
      <c r="EC101" s="25"/>
      <c r="ED101" s="25"/>
      <c r="EE101" s="25"/>
      <c r="EF101" s="25"/>
      <c r="EG101" s="25"/>
      <c r="EH101" s="25"/>
      <c r="EI101" s="25"/>
      <c r="EJ101" s="25"/>
      <c r="EK101" s="25"/>
      <c r="EL101" s="25"/>
      <c r="EM101" s="25"/>
      <c r="EN101" s="25"/>
      <c r="EO101" s="25"/>
      <c r="EP101" s="25"/>
      <c r="EQ101" s="25"/>
      <c r="ER101" s="25"/>
      <c r="ES101" s="25"/>
      <c r="ET101" s="25"/>
    </row>
    <row r="102" spans="9:150" x14ac:dyDescent="0.25"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/>
      <c r="AN102" s="25"/>
      <c r="AO102" s="25"/>
      <c r="AP102" s="25"/>
      <c r="AQ102" s="25"/>
      <c r="AR102" s="25"/>
      <c r="AS102" s="25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  <c r="BF102" s="25"/>
      <c r="BG102" s="25"/>
      <c r="BH102" s="25"/>
      <c r="BI102" s="25"/>
      <c r="BJ102" s="25"/>
      <c r="BK102" s="25"/>
      <c r="BL102" s="25"/>
      <c r="BM102" s="25"/>
      <c r="BN102" s="25"/>
      <c r="BO102" s="25"/>
      <c r="BP102" s="25"/>
      <c r="BQ102" s="25"/>
      <c r="BR102" s="25"/>
      <c r="BS102" s="25"/>
      <c r="BT102" s="25"/>
      <c r="BU102" s="25"/>
      <c r="BV102" s="25"/>
      <c r="BW102" s="25"/>
      <c r="BX102" s="25"/>
      <c r="BY102" s="25"/>
      <c r="BZ102" s="25"/>
      <c r="CA102" s="25"/>
      <c r="CB102" s="25"/>
      <c r="CC102" s="25"/>
      <c r="CD102" s="25"/>
      <c r="CE102" s="25"/>
      <c r="CF102" s="25"/>
      <c r="CG102" s="25"/>
      <c r="CH102" s="25"/>
      <c r="CI102" s="25"/>
      <c r="CJ102" s="25"/>
      <c r="CK102" s="25"/>
      <c r="CL102" s="25"/>
      <c r="CM102" s="25"/>
      <c r="CN102" s="25"/>
      <c r="CO102" s="25"/>
      <c r="CP102" s="25"/>
      <c r="CQ102" s="25"/>
      <c r="CR102" s="25"/>
      <c r="CS102" s="25"/>
      <c r="CT102" s="25"/>
      <c r="CU102" s="25"/>
      <c r="CV102" s="25"/>
      <c r="CW102" s="25"/>
      <c r="CX102" s="25"/>
      <c r="CY102" s="25"/>
      <c r="CZ102" s="25"/>
      <c r="DA102" s="25"/>
      <c r="DB102" s="25"/>
      <c r="DC102" s="25"/>
      <c r="DD102" s="25"/>
      <c r="DE102" s="25"/>
      <c r="DF102" s="25"/>
      <c r="DG102" s="25"/>
      <c r="DH102" s="25"/>
      <c r="DI102" s="25"/>
      <c r="DJ102" s="25"/>
      <c r="DK102" s="25"/>
      <c r="DL102" s="25"/>
      <c r="DM102" s="25"/>
      <c r="DN102" s="25"/>
      <c r="DO102" s="25"/>
      <c r="DP102" s="25"/>
      <c r="DQ102" s="25"/>
      <c r="DR102" s="25"/>
      <c r="DS102" s="25"/>
      <c r="DT102" s="25"/>
      <c r="DU102" s="25"/>
      <c r="DV102" s="25"/>
      <c r="DW102" s="25"/>
      <c r="DX102" s="25"/>
      <c r="DY102" s="25"/>
      <c r="DZ102" s="25"/>
      <c r="EA102" s="25"/>
      <c r="EB102" s="25"/>
      <c r="EC102" s="25"/>
      <c r="ED102" s="25"/>
      <c r="EE102" s="25"/>
      <c r="EF102" s="25"/>
      <c r="EG102" s="25"/>
      <c r="EH102" s="25"/>
      <c r="EI102" s="25"/>
      <c r="EJ102" s="25"/>
      <c r="EK102" s="25"/>
      <c r="EL102" s="25"/>
      <c r="EM102" s="25"/>
      <c r="EN102" s="25"/>
      <c r="EO102" s="25"/>
      <c r="EP102" s="25"/>
      <c r="EQ102" s="25"/>
      <c r="ER102" s="25"/>
      <c r="ES102" s="25"/>
      <c r="ET102" s="25"/>
    </row>
    <row r="103" spans="9:150" x14ac:dyDescent="0.25"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  <c r="AQ103" s="25"/>
      <c r="AR103" s="25"/>
      <c r="AS103" s="25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  <c r="BF103" s="25"/>
      <c r="BG103" s="25"/>
      <c r="BH103" s="25"/>
      <c r="BI103" s="25"/>
      <c r="BJ103" s="25"/>
      <c r="BK103" s="25"/>
      <c r="BL103" s="25"/>
      <c r="BM103" s="25"/>
      <c r="BN103" s="25"/>
      <c r="BO103" s="25"/>
      <c r="BP103" s="25"/>
      <c r="BQ103" s="25"/>
      <c r="BR103" s="25"/>
      <c r="BS103" s="25"/>
      <c r="BT103" s="25"/>
      <c r="BU103" s="25"/>
      <c r="BV103" s="25"/>
      <c r="BW103" s="25"/>
      <c r="BX103" s="25"/>
      <c r="BY103" s="25"/>
      <c r="BZ103" s="25"/>
      <c r="CA103" s="25"/>
      <c r="CB103" s="25"/>
      <c r="CC103" s="25"/>
      <c r="CD103" s="25"/>
      <c r="CE103" s="25"/>
      <c r="CF103" s="25"/>
      <c r="CG103" s="25"/>
      <c r="CH103" s="25"/>
      <c r="CI103" s="25"/>
      <c r="CJ103" s="25"/>
      <c r="CK103" s="25"/>
      <c r="CL103" s="25"/>
      <c r="CM103" s="25"/>
      <c r="CN103" s="25"/>
      <c r="CO103" s="25"/>
      <c r="CP103" s="25"/>
      <c r="CQ103" s="25"/>
      <c r="CR103" s="25"/>
      <c r="CS103" s="25"/>
      <c r="CT103" s="25"/>
      <c r="CU103" s="25"/>
      <c r="CV103" s="25"/>
      <c r="CW103" s="25"/>
      <c r="CX103" s="25"/>
      <c r="CY103" s="25"/>
      <c r="CZ103" s="25"/>
      <c r="DA103" s="25"/>
      <c r="DB103" s="25"/>
      <c r="DC103" s="25"/>
      <c r="DD103" s="25"/>
      <c r="DE103" s="25"/>
      <c r="DF103" s="25"/>
      <c r="DG103" s="25"/>
      <c r="DH103" s="25"/>
      <c r="DI103" s="25"/>
      <c r="DJ103" s="25"/>
      <c r="DK103" s="25"/>
      <c r="DL103" s="25"/>
      <c r="DM103" s="25"/>
      <c r="DN103" s="25"/>
      <c r="DO103" s="25"/>
      <c r="DP103" s="25"/>
      <c r="DQ103" s="25"/>
      <c r="DR103" s="25"/>
      <c r="DS103" s="25"/>
      <c r="DT103" s="25"/>
      <c r="DU103" s="25"/>
      <c r="DV103" s="25"/>
      <c r="DW103" s="25"/>
      <c r="DX103" s="25"/>
      <c r="DY103" s="25"/>
      <c r="DZ103" s="25"/>
      <c r="EA103" s="25"/>
      <c r="EB103" s="25"/>
      <c r="EC103" s="25"/>
      <c r="ED103" s="25"/>
      <c r="EE103" s="25"/>
      <c r="EF103" s="25"/>
      <c r="EG103" s="25"/>
      <c r="EH103" s="25"/>
      <c r="EI103" s="25"/>
      <c r="EJ103" s="25"/>
      <c r="EK103" s="25"/>
      <c r="EL103" s="25"/>
      <c r="EM103" s="25"/>
      <c r="EN103" s="25"/>
      <c r="EO103" s="25"/>
      <c r="EP103" s="25"/>
      <c r="EQ103" s="25"/>
      <c r="ER103" s="25"/>
      <c r="ES103" s="25"/>
      <c r="ET103" s="25"/>
    </row>
    <row r="104" spans="9:150" x14ac:dyDescent="0.25"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  <c r="AN104" s="25"/>
      <c r="AO104" s="25"/>
      <c r="AP104" s="25"/>
      <c r="AQ104" s="25"/>
      <c r="AR104" s="25"/>
      <c r="AS104" s="25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  <c r="BF104" s="25"/>
      <c r="BG104" s="25"/>
      <c r="BH104" s="25"/>
      <c r="BI104" s="25"/>
      <c r="BJ104" s="25"/>
      <c r="BK104" s="25"/>
      <c r="BL104" s="25"/>
      <c r="BM104" s="25"/>
      <c r="BN104" s="25"/>
      <c r="BO104" s="25"/>
      <c r="BP104" s="25"/>
      <c r="BQ104" s="25"/>
      <c r="BR104" s="25"/>
      <c r="BS104" s="25"/>
      <c r="BT104" s="25"/>
      <c r="BU104" s="25"/>
      <c r="BV104" s="25"/>
      <c r="BW104" s="25"/>
      <c r="BX104" s="25"/>
      <c r="BY104" s="25"/>
      <c r="BZ104" s="25"/>
      <c r="CA104" s="25"/>
      <c r="CB104" s="25"/>
      <c r="CC104" s="25"/>
      <c r="CD104" s="25"/>
      <c r="CE104" s="25"/>
      <c r="CF104" s="25"/>
      <c r="CG104" s="25"/>
      <c r="CH104" s="25"/>
      <c r="CI104" s="25"/>
      <c r="CJ104" s="25"/>
      <c r="CK104" s="25"/>
      <c r="CL104" s="25"/>
      <c r="CM104" s="25"/>
      <c r="CN104" s="25"/>
      <c r="CO104" s="25"/>
      <c r="CP104" s="25"/>
      <c r="CQ104" s="25"/>
      <c r="CR104" s="25"/>
      <c r="CS104" s="25"/>
      <c r="CT104" s="25"/>
      <c r="CU104" s="25"/>
      <c r="CV104" s="25"/>
      <c r="CW104" s="25"/>
      <c r="CX104" s="25"/>
      <c r="CY104" s="25"/>
      <c r="CZ104" s="25"/>
      <c r="DA104" s="25"/>
      <c r="DB104" s="25"/>
      <c r="DC104" s="25"/>
      <c r="DD104" s="25"/>
      <c r="DE104" s="25"/>
      <c r="DF104" s="25"/>
      <c r="DG104" s="25"/>
      <c r="DH104" s="25"/>
      <c r="DI104" s="25"/>
      <c r="DJ104" s="25"/>
      <c r="DK104" s="25"/>
      <c r="DL104" s="25"/>
      <c r="DM104" s="25"/>
      <c r="DN104" s="25"/>
      <c r="DO104" s="25"/>
      <c r="DP104" s="25"/>
      <c r="DQ104" s="25"/>
      <c r="DR104" s="25"/>
      <c r="DS104" s="25"/>
      <c r="DT104" s="25"/>
      <c r="DU104" s="25"/>
      <c r="DV104" s="25"/>
      <c r="DW104" s="25"/>
      <c r="DX104" s="25"/>
      <c r="DY104" s="25"/>
      <c r="DZ104" s="25"/>
      <c r="EA104" s="25"/>
      <c r="EB104" s="25"/>
      <c r="EC104" s="25"/>
      <c r="ED104" s="25"/>
      <c r="EE104" s="25"/>
      <c r="EF104" s="25"/>
      <c r="EG104" s="25"/>
      <c r="EH104" s="25"/>
      <c r="EI104" s="25"/>
      <c r="EJ104" s="25"/>
      <c r="EK104" s="25"/>
      <c r="EL104" s="25"/>
      <c r="EM104" s="25"/>
      <c r="EN104" s="25"/>
      <c r="EO104" s="25"/>
      <c r="EP104" s="25"/>
      <c r="EQ104" s="25"/>
      <c r="ER104" s="25"/>
      <c r="ES104" s="25"/>
      <c r="ET104" s="25"/>
    </row>
    <row r="105" spans="9:150" x14ac:dyDescent="0.25"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  <c r="AR105" s="25"/>
      <c r="AS105" s="25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  <c r="BF105" s="25"/>
      <c r="BG105" s="25"/>
      <c r="BH105" s="25"/>
      <c r="BI105" s="25"/>
      <c r="BJ105" s="25"/>
      <c r="BK105" s="25"/>
      <c r="BL105" s="25"/>
      <c r="BM105" s="25"/>
      <c r="BN105" s="25"/>
      <c r="BO105" s="25"/>
      <c r="BP105" s="25"/>
      <c r="BQ105" s="25"/>
      <c r="BR105" s="25"/>
      <c r="BS105" s="25"/>
      <c r="BT105" s="25"/>
      <c r="BU105" s="25"/>
      <c r="BV105" s="25"/>
      <c r="BW105" s="25"/>
      <c r="BX105" s="25"/>
      <c r="BY105" s="25"/>
      <c r="BZ105" s="25"/>
      <c r="CA105" s="25"/>
      <c r="CB105" s="25"/>
      <c r="CC105" s="25"/>
      <c r="CD105" s="25"/>
      <c r="CE105" s="25"/>
      <c r="CF105" s="25"/>
      <c r="CG105" s="25"/>
      <c r="CH105" s="25"/>
      <c r="CI105" s="25"/>
      <c r="CJ105" s="25"/>
      <c r="CK105" s="25"/>
      <c r="CL105" s="25"/>
      <c r="CM105" s="25"/>
      <c r="CN105" s="25"/>
      <c r="CO105" s="25"/>
      <c r="CP105" s="25"/>
      <c r="CQ105" s="25"/>
      <c r="CR105" s="25"/>
      <c r="CS105" s="25"/>
      <c r="CT105" s="25"/>
      <c r="CU105" s="25"/>
      <c r="CV105" s="25"/>
      <c r="CW105" s="25"/>
      <c r="CX105" s="25"/>
      <c r="CY105" s="25"/>
      <c r="CZ105" s="25"/>
      <c r="DA105" s="25"/>
      <c r="DB105" s="25"/>
      <c r="DC105" s="25"/>
      <c r="DD105" s="25"/>
      <c r="DE105" s="25"/>
      <c r="DF105" s="25"/>
      <c r="DG105" s="25"/>
      <c r="DH105" s="25"/>
      <c r="DI105" s="25"/>
      <c r="DJ105" s="25"/>
      <c r="DK105" s="25"/>
      <c r="DL105" s="25"/>
      <c r="DM105" s="25"/>
      <c r="DN105" s="25"/>
      <c r="DO105" s="25"/>
      <c r="DP105" s="25"/>
      <c r="DQ105" s="25"/>
      <c r="DR105" s="25"/>
      <c r="DS105" s="25"/>
      <c r="DT105" s="25"/>
      <c r="DU105" s="25"/>
      <c r="DV105" s="25"/>
      <c r="DW105" s="25"/>
      <c r="DX105" s="25"/>
      <c r="DY105" s="25"/>
      <c r="DZ105" s="25"/>
      <c r="EA105" s="25"/>
      <c r="EB105" s="25"/>
      <c r="EC105" s="25"/>
      <c r="ED105" s="25"/>
      <c r="EE105" s="25"/>
      <c r="EF105" s="25"/>
      <c r="EG105" s="25"/>
      <c r="EH105" s="25"/>
      <c r="EI105" s="25"/>
      <c r="EJ105" s="25"/>
      <c r="EK105" s="25"/>
      <c r="EL105" s="25"/>
      <c r="EM105" s="25"/>
      <c r="EN105" s="25"/>
      <c r="EO105" s="25"/>
      <c r="EP105" s="25"/>
      <c r="EQ105" s="25"/>
      <c r="ER105" s="25"/>
      <c r="ES105" s="25"/>
      <c r="ET105" s="25"/>
    </row>
    <row r="106" spans="9:150" x14ac:dyDescent="0.25"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25"/>
      <c r="AM106" s="25"/>
      <c r="AN106" s="25"/>
      <c r="AO106" s="25"/>
      <c r="AP106" s="25"/>
      <c r="AQ106" s="25"/>
      <c r="AR106" s="25"/>
      <c r="AS106" s="25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  <c r="BF106" s="25"/>
      <c r="BG106" s="25"/>
      <c r="BH106" s="25"/>
      <c r="BI106" s="25"/>
      <c r="BJ106" s="25"/>
      <c r="BK106" s="25"/>
      <c r="BL106" s="25"/>
      <c r="BM106" s="25"/>
      <c r="BN106" s="25"/>
      <c r="BO106" s="25"/>
      <c r="BP106" s="25"/>
      <c r="BQ106" s="25"/>
      <c r="BR106" s="25"/>
      <c r="BS106" s="25"/>
      <c r="BT106" s="25"/>
      <c r="BU106" s="25"/>
      <c r="BV106" s="25"/>
      <c r="BW106" s="25"/>
      <c r="BX106" s="25"/>
      <c r="BY106" s="25"/>
      <c r="BZ106" s="25"/>
      <c r="CA106" s="25"/>
      <c r="CB106" s="25"/>
      <c r="CC106" s="25"/>
      <c r="CD106" s="25"/>
      <c r="CE106" s="25"/>
      <c r="CF106" s="25"/>
      <c r="CG106" s="25"/>
      <c r="CH106" s="25"/>
      <c r="CI106" s="25"/>
      <c r="CJ106" s="25"/>
      <c r="CK106" s="25"/>
      <c r="CL106" s="25"/>
      <c r="CM106" s="25"/>
      <c r="CN106" s="25"/>
      <c r="CO106" s="25"/>
      <c r="CP106" s="25"/>
      <c r="CQ106" s="25"/>
      <c r="CR106" s="25"/>
      <c r="CS106" s="25"/>
      <c r="CT106" s="25"/>
      <c r="CU106" s="25"/>
      <c r="CV106" s="25"/>
      <c r="CW106" s="25"/>
      <c r="CX106" s="25"/>
      <c r="CY106" s="25"/>
      <c r="CZ106" s="25"/>
      <c r="DA106" s="25"/>
      <c r="DB106" s="25"/>
      <c r="DC106" s="25"/>
      <c r="DD106" s="25"/>
      <c r="DE106" s="25"/>
      <c r="DF106" s="25"/>
      <c r="DG106" s="25"/>
      <c r="DH106" s="25"/>
      <c r="DI106" s="25"/>
      <c r="DJ106" s="25"/>
      <c r="DK106" s="25"/>
      <c r="DL106" s="25"/>
      <c r="DM106" s="25"/>
      <c r="DN106" s="25"/>
      <c r="DO106" s="25"/>
      <c r="DP106" s="25"/>
      <c r="DQ106" s="25"/>
      <c r="DR106" s="25"/>
      <c r="DS106" s="25"/>
      <c r="DT106" s="25"/>
      <c r="DU106" s="25"/>
      <c r="DV106" s="25"/>
      <c r="DW106" s="25"/>
      <c r="DX106" s="25"/>
      <c r="DY106" s="25"/>
      <c r="DZ106" s="25"/>
      <c r="EA106" s="25"/>
      <c r="EB106" s="25"/>
      <c r="EC106" s="25"/>
      <c r="ED106" s="25"/>
      <c r="EE106" s="25"/>
      <c r="EF106" s="25"/>
      <c r="EG106" s="25"/>
      <c r="EH106" s="25"/>
      <c r="EI106" s="25"/>
      <c r="EJ106" s="25"/>
      <c r="EK106" s="25"/>
      <c r="EL106" s="25"/>
      <c r="EM106" s="25"/>
      <c r="EN106" s="25"/>
      <c r="EO106" s="25"/>
      <c r="EP106" s="25"/>
      <c r="EQ106" s="25"/>
      <c r="ER106" s="25"/>
      <c r="ES106" s="25"/>
      <c r="ET106" s="25"/>
    </row>
    <row r="107" spans="9:150" x14ac:dyDescent="0.25"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  <c r="AN107" s="25"/>
      <c r="AO107" s="25"/>
      <c r="AP107" s="25"/>
      <c r="AQ107" s="25"/>
      <c r="AR107" s="25"/>
      <c r="AS107" s="25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  <c r="BF107" s="25"/>
      <c r="BG107" s="25"/>
      <c r="BH107" s="25"/>
      <c r="BI107" s="25"/>
      <c r="BJ107" s="25"/>
      <c r="BK107" s="25"/>
      <c r="BL107" s="25"/>
      <c r="BM107" s="25"/>
      <c r="BN107" s="25"/>
      <c r="BO107" s="25"/>
      <c r="BP107" s="25"/>
      <c r="BQ107" s="25"/>
      <c r="BR107" s="25"/>
      <c r="BS107" s="25"/>
      <c r="BT107" s="25"/>
      <c r="BU107" s="25"/>
      <c r="BV107" s="25"/>
      <c r="BW107" s="25"/>
      <c r="BX107" s="25"/>
      <c r="BY107" s="25"/>
      <c r="BZ107" s="25"/>
      <c r="CA107" s="25"/>
      <c r="CB107" s="25"/>
      <c r="CC107" s="25"/>
      <c r="CD107" s="25"/>
      <c r="CE107" s="25"/>
      <c r="CF107" s="25"/>
      <c r="CG107" s="25"/>
      <c r="CH107" s="25"/>
      <c r="CI107" s="25"/>
      <c r="CJ107" s="25"/>
      <c r="CK107" s="25"/>
      <c r="CL107" s="25"/>
      <c r="CM107" s="25"/>
      <c r="CN107" s="25"/>
      <c r="CO107" s="25"/>
      <c r="CP107" s="25"/>
      <c r="CQ107" s="25"/>
      <c r="CR107" s="25"/>
      <c r="CS107" s="25"/>
      <c r="CT107" s="25"/>
      <c r="CU107" s="25"/>
      <c r="CV107" s="25"/>
      <c r="CW107" s="25"/>
      <c r="CX107" s="25"/>
      <c r="CY107" s="25"/>
      <c r="CZ107" s="25"/>
      <c r="DA107" s="25"/>
      <c r="DB107" s="25"/>
      <c r="DC107" s="25"/>
      <c r="DD107" s="25"/>
      <c r="DE107" s="25"/>
      <c r="DF107" s="25"/>
      <c r="DG107" s="25"/>
      <c r="DH107" s="25"/>
      <c r="DI107" s="25"/>
      <c r="DJ107" s="25"/>
      <c r="DK107" s="25"/>
      <c r="DL107" s="25"/>
      <c r="DM107" s="25"/>
      <c r="DN107" s="25"/>
      <c r="DO107" s="25"/>
      <c r="DP107" s="25"/>
      <c r="DQ107" s="25"/>
      <c r="DR107" s="25"/>
      <c r="DS107" s="25"/>
      <c r="DT107" s="25"/>
      <c r="DU107" s="25"/>
      <c r="DV107" s="25"/>
      <c r="DW107" s="25"/>
      <c r="DX107" s="25"/>
      <c r="DY107" s="25"/>
      <c r="DZ107" s="25"/>
      <c r="EA107" s="25"/>
      <c r="EB107" s="25"/>
      <c r="EC107" s="25"/>
      <c r="ED107" s="25"/>
      <c r="EE107" s="25"/>
      <c r="EF107" s="25"/>
      <c r="EG107" s="25"/>
      <c r="EH107" s="25"/>
      <c r="EI107" s="25"/>
      <c r="EJ107" s="25"/>
      <c r="EK107" s="25"/>
      <c r="EL107" s="25"/>
      <c r="EM107" s="25"/>
      <c r="EN107" s="25"/>
      <c r="EO107" s="25"/>
      <c r="EP107" s="25"/>
      <c r="EQ107" s="25"/>
      <c r="ER107" s="25"/>
      <c r="ES107" s="25"/>
      <c r="ET107" s="25"/>
    </row>
    <row r="108" spans="9:150" x14ac:dyDescent="0.25"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25"/>
      <c r="AO108" s="25"/>
      <c r="AP108" s="25"/>
      <c r="AQ108" s="25"/>
      <c r="AR108" s="25"/>
      <c r="AS108" s="25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  <c r="BF108" s="25"/>
      <c r="BG108" s="25"/>
      <c r="BH108" s="25"/>
      <c r="BI108" s="25"/>
      <c r="BJ108" s="25"/>
      <c r="BK108" s="25"/>
      <c r="BL108" s="25"/>
      <c r="BM108" s="25"/>
      <c r="BN108" s="25"/>
      <c r="BO108" s="25"/>
      <c r="BP108" s="25"/>
      <c r="BQ108" s="25"/>
      <c r="BR108" s="25"/>
      <c r="BS108" s="25"/>
      <c r="BT108" s="25"/>
      <c r="BU108" s="25"/>
      <c r="BV108" s="25"/>
      <c r="BW108" s="25"/>
      <c r="BX108" s="25"/>
      <c r="BY108" s="25"/>
      <c r="BZ108" s="25"/>
      <c r="CA108" s="25"/>
      <c r="CB108" s="25"/>
      <c r="CC108" s="25"/>
      <c r="CD108" s="25"/>
      <c r="CE108" s="25"/>
      <c r="CF108" s="25"/>
      <c r="CG108" s="25"/>
      <c r="CH108" s="25"/>
      <c r="CI108" s="25"/>
      <c r="CJ108" s="25"/>
      <c r="CK108" s="25"/>
      <c r="CL108" s="25"/>
      <c r="CM108" s="25"/>
      <c r="CN108" s="25"/>
      <c r="CO108" s="25"/>
      <c r="CP108" s="25"/>
      <c r="CQ108" s="25"/>
      <c r="CR108" s="25"/>
      <c r="CS108" s="25"/>
      <c r="CT108" s="25"/>
      <c r="CU108" s="25"/>
      <c r="CV108" s="25"/>
      <c r="CW108" s="25"/>
      <c r="CX108" s="25"/>
      <c r="CY108" s="25"/>
      <c r="CZ108" s="25"/>
      <c r="DA108" s="25"/>
      <c r="DB108" s="25"/>
      <c r="DC108" s="25"/>
      <c r="DD108" s="25"/>
      <c r="DE108" s="25"/>
      <c r="DF108" s="25"/>
      <c r="DG108" s="25"/>
      <c r="DH108" s="25"/>
      <c r="DI108" s="25"/>
      <c r="DJ108" s="25"/>
      <c r="DK108" s="25"/>
      <c r="DL108" s="25"/>
      <c r="DM108" s="25"/>
      <c r="DN108" s="25"/>
      <c r="DO108" s="25"/>
      <c r="DP108" s="25"/>
      <c r="DQ108" s="25"/>
      <c r="DR108" s="25"/>
      <c r="DS108" s="25"/>
      <c r="DT108" s="25"/>
      <c r="DU108" s="25"/>
      <c r="DV108" s="25"/>
      <c r="DW108" s="25"/>
      <c r="DX108" s="25"/>
      <c r="DY108" s="25"/>
      <c r="DZ108" s="25"/>
      <c r="EA108" s="25"/>
      <c r="EB108" s="25"/>
      <c r="EC108" s="25"/>
      <c r="ED108" s="25"/>
      <c r="EE108" s="25"/>
      <c r="EF108" s="25"/>
      <c r="EG108" s="25"/>
      <c r="EH108" s="25"/>
      <c r="EI108" s="25"/>
      <c r="EJ108" s="25"/>
      <c r="EK108" s="25"/>
      <c r="EL108" s="25"/>
      <c r="EM108" s="25"/>
      <c r="EN108" s="25"/>
      <c r="EO108" s="25"/>
      <c r="EP108" s="25"/>
      <c r="EQ108" s="25"/>
      <c r="ER108" s="25"/>
      <c r="ES108" s="25"/>
      <c r="ET108" s="25"/>
    </row>
    <row r="109" spans="9:150" x14ac:dyDescent="0.25"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  <c r="AM109" s="25"/>
      <c r="AN109" s="25"/>
      <c r="AO109" s="25"/>
      <c r="AP109" s="25"/>
      <c r="AQ109" s="25"/>
      <c r="AR109" s="25"/>
      <c r="AS109" s="25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  <c r="BF109" s="25"/>
      <c r="BG109" s="25"/>
      <c r="BH109" s="25"/>
      <c r="BI109" s="25"/>
      <c r="BJ109" s="25"/>
      <c r="BK109" s="25"/>
      <c r="BL109" s="25"/>
      <c r="BM109" s="25"/>
      <c r="BN109" s="25"/>
      <c r="BO109" s="25"/>
      <c r="BP109" s="25"/>
      <c r="BQ109" s="25"/>
      <c r="BR109" s="25"/>
      <c r="BS109" s="25"/>
      <c r="BT109" s="25"/>
      <c r="BU109" s="25"/>
      <c r="BV109" s="25"/>
      <c r="BW109" s="25"/>
      <c r="BX109" s="25"/>
      <c r="BY109" s="25"/>
      <c r="BZ109" s="25"/>
      <c r="CA109" s="25"/>
      <c r="CB109" s="25"/>
      <c r="CC109" s="25"/>
      <c r="CD109" s="25"/>
      <c r="CE109" s="25"/>
      <c r="CF109" s="25"/>
      <c r="CG109" s="25"/>
      <c r="CH109" s="25"/>
      <c r="CI109" s="25"/>
      <c r="CJ109" s="25"/>
      <c r="CK109" s="25"/>
      <c r="CL109" s="25"/>
      <c r="CM109" s="25"/>
      <c r="CN109" s="25"/>
      <c r="CO109" s="25"/>
      <c r="CP109" s="25"/>
      <c r="CQ109" s="25"/>
      <c r="CR109" s="25"/>
      <c r="CS109" s="25"/>
      <c r="CT109" s="25"/>
      <c r="CU109" s="25"/>
      <c r="CV109" s="25"/>
      <c r="CW109" s="25"/>
      <c r="CX109" s="25"/>
      <c r="CY109" s="25"/>
      <c r="CZ109" s="25"/>
      <c r="DA109" s="25"/>
      <c r="DB109" s="25"/>
      <c r="DC109" s="25"/>
      <c r="DD109" s="25"/>
      <c r="DE109" s="25"/>
      <c r="DF109" s="25"/>
      <c r="DG109" s="25"/>
      <c r="DH109" s="25"/>
      <c r="DI109" s="25"/>
      <c r="DJ109" s="25"/>
      <c r="DK109" s="25"/>
      <c r="DL109" s="25"/>
      <c r="DM109" s="25"/>
      <c r="DN109" s="25"/>
      <c r="DO109" s="25"/>
      <c r="DP109" s="25"/>
      <c r="DQ109" s="25"/>
      <c r="DR109" s="25"/>
      <c r="DS109" s="25"/>
      <c r="DT109" s="25"/>
      <c r="DU109" s="25"/>
      <c r="DV109" s="25"/>
      <c r="DW109" s="25"/>
      <c r="DX109" s="25"/>
      <c r="DY109" s="25"/>
      <c r="DZ109" s="25"/>
      <c r="EA109" s="25"/>
      <c r="EB109" s="25"/>
      <c r="EC109" s="25"/>
      <c r="ED109" s="25"/>
      <c r="EE109" s="25"/>
      <c r="EF109" s="25"/>
      <c r="EG109" s="25"/>
      <c r="EH109" s="25"/>
      <c r="EI109" s="25"/>
      <c r="EJ109" s="25"/>
      <c r="EK109" s="25"/>
      <c r="EL109" s="25"/>
      <c r="EM109" s="25"/>
      <c r="EN109" s="25"/>
      <c r="EO109" s="25"/>
      <c r="EP109" s="25"/>
      <c r="EQ109" s="25"/>
      <c r="ER109" s="25"/>
      <c r="ES109" s="25"/>
      <c r="ET109" s="25"/>
    </row>
    <row r="110" spans="9:150" x14ac:dyDescent="0.25"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  <c r="AM110" s="25"/>
      <c r="AN110" s="25"/>
      <c r="AO110" s="25"/>
      <c r="AP110" s="25"/>
      <c r="AQ110" s="25"/>
      <c r="AR110" s="25"/>
      <c r="AS110" s="25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  <c r="BF110" s="25"/>
      <c r="BG110" s="25"/>
      <c r="BH110" s="25"/>
      <c r="BI110" s="25"/>
      <c r="BJ110" s="25"/>
      <c r="BK110" s="25"/>
      <c r="BL110" s="25"/>
      <c r="BM110" s="25"/>
      <c r="BN110" s="25"/>
      <c r="BO110" s="25"/>
      <c r="BP110" s="25"/>
      <c r="BQ110" s="25"/>
      <c r="BR110" s="25"/>
      <c r="BS110" s="25"/>
      <c r="BT110" s="25"/>
      <c r="BU110" s="25"/>
      <c r="BV110" s="25"/>
      <c r="BW110" s="25"/>
      <c r="BX110" s="25"/>
      <c r="BY110" s="25"/>
      <c r="BZ110" s="25"/>
      <c r="CA110" s="25"/>
      <c r="CB110" s="25"/>
      <c r="CC110" s="25"/>
      <c r="CD110" s="25"/>
      <c r="CE110" s="25"/>
      <c r="CF110" s="25"/>
      <c r="CG110" s="25"/>
      <c r="CH110" s="25"/>
      <c r="CI110" s="25"/>
      <c r="CJ110" s="25"/>
      <c r="CK110" s="25"/>
      <c r="CL110" s="25"/>
      <c r="CM110" s="25"/>
      <c r="CN110" s="25"/>
      <c r="CO110" s="25"/>
      <c r="CP110" s="25"/>
      <c r="CQ110" s="25"/>
      <c r="CR110" s="25"/>
      <c r="CS110" s="25"/>
      <c r="CT110" s="25"/>
      <c r="CU110" s="25"/>
      <c r="CV110" s="25"/>
      <c r="CW110" s="25"/>
      <c r="CX110" s="25"/>
      <c r="CY110" s="25"/>
      <c r="CZ110" s="25"/>
      <c r="DA110" s="25"/>
      <c r="DB110" s="25"/>
      <c r="DC110" s="25"/>
      <c r="DD110" s="25"/>
      <c r="DE110" s="25"/>
      <c r="DF110" s="25"/>
      <c r="DG110" s="25"/>
      <c r="DH110" s="25"/>
      <c r="DI110" s="25"/>
      <c r="DJ110" s="25"/>
      <c r="DK110" s="25"/>
      <c r="DL110" s="25"/>
      <c r="DM110" s="25"/>
      <c r="DN110" s="25"/>
      <c r="DO110" s="25"/>
      <c r="DP110" s="25"/>
      <c r="DQ110" s="25"/>
      <c r="DR110" s="25"/>
      <c r="DS110" s="25"/>
      <c r="DT110" s="25"/>
      <c r="DU110" s="25"/>
      <c r="DV110" s="25"/>
      <c r="DW110" s="25"/>
      <c r="DX110" s="25"/>
      <c r="DY110" s="25"/>
      <c r="DZ110" s="25"/>
      <c r="EA110" s="25"/>
      <c r="EB110" s="25"/>
      <c r="EC110" s="25"/>
      <c r="ED110" s="25"/>
      <c r="EE110" s="25"/>
      <c r="EF110" s="25"/>
      <c r="EG110" s="25"/>
      <c r="EH110" s="25"/>
      <c r="EI110" s="25"/>
      <c r="EJ110" s="25"/>
      <c r="EK110" s="25"/>
      <c r="EL110" s="25"/>
      <c r="EM110" s="25"/>
      <c r="EN110" s="25"/>
      <c r="EO110" s="25"/>
      <c r="EP110" s="25"/>
      <c r="EQ110" s="25"/>
      <c r="ER110" s="25"/>
      <c r="ES110" s="25"/>
      <c r="ET110" s="25"/>
    </row>
    <row r="111" spans="9:150" x14ac:dyDescent="0.25"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  <c r="AM111" s="25"/>
      <c r="AN111" s="25"/>
      <c r="AO111" s="25"/>
      <c r="AP111" s="25"/>
      <c r="AQ111" s="25"/>
      <c r="AR111" s="25"/>
      <c r="AS111" s="25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  <c r="BF111" s="25"/>
      <c r="BG111" s="25"/>
      <c r="BH111" s="25"/>
      <c r="BI111" s="25"/>
      <c r="BJ111" s="25"/>
      <c r="BK111" s="25"/>
      <c r="BL111" s="25"/>
      <c r="BM111" s="25"/>
      <c r="BN111" s="25"/>
      <c r="BO111" s="25"/>
      <c r="BP111" s="25"/>
      <c r="BQ111" s="25"/>
      <c r="BR111" s="25"/>
      <c r="BS111" s="25"/>
      <c r="BT111" s="25"/>
      <c r="BU111" s="25"/>
      <c r="BV111" s="25"/>
      <c r="BW111" s="25"/>
      <c r="BX111" s="25"/>
      <c r="BY111" s="25"/>
      <c r="BZ111" s="25"/>
      <c r="CA111" s="25"/>
      <c r="CB111" s="25"/>
      <c r="CC111" s="25"/>
      <c r="CD111" s="25"/>
      <c r="CE111" s="25"/>
      <c r="CF111" s="25"/>
      <c r="CG111" s="25"/>
      <c r="CH111" s="25"/>
      <c r="CI111" s="25"/>
      <c r="CJ111" s="25"/>
      <c r="CK111" s="25"/>
      <c r="CL111" s="25"/>
      <c r="CM111" s="25"/>
      <c r="CN111" s="25"/>
      <c r="CO111" s="25"/>
      <c r="CP111" s="25"/>
      <c r="CQ111" s="25"/>
      <c r="CR111" s="25"/>
      <c r="CS111" s="25"/>
      <c r="CT111" s="25"/>
      <c r="CU111" s="25"/>
      <c r="CV111" s="25"/>
      <c r="CW111" s="25"/>
      <c r="CX111" s="25"/>
      <c r="CY111" s="25"/>
      <c r="CZ111" s="25"/>
      <c r="DA111" s="25"/>
      <c r="DB111" s="25"/>
      <c r="DC111" s="25"/>
      <c r="DD111" s="25"/>
      <c r="DE111" s="25"/>
      <c r="DF111" s="25"/>
      <c r="DG111" s="25"/>
      <c r="DH111" s="25"/>
      <c r="DI111" s="25"/>
      <c r="DJ111" s="25"/>
      <c r="DK111" s="25"/>
      <c r="DL111" s="25"/>
      <c r="DM111" s="25"/>
      <c r="DN111" s="25"/>
      <c r="DO111" s="25"/>
      <c r="DP111" s="25"/>
      <c r="DQ111" s="25"/>
      <c r="DR111" s="25"/>
      <c r="DS111" s="25"/>
      <c r="DT111" s="25"/>
      <c r="DU111" s="25"/>
      <c r="DV111" s="25"/>
      <c r="DW111" s="25"/>
      <c r="DX111" s="25"/>
      <c r="DY111" s="25"/>
      <c r="DZ111" s="25"/>
      <c r="EA111" s="25"/>
      <c r="EB111" s="25"/>
      <c r="EC111" s="25"/>
      <c r="ED111" s="25"/>
      <c r="EE111" s="25"/>
      <c r="EF111" s="25"/>
      <c r="EG111" s="25"/>
      <c r="EH111" s="25"/>
      <c r="EI111" s="25"/>
      <c r="EJ111" s="25"/>
      <c r="EK111" s="25"/>
      <c r="EL111" s="25"/>
      <c r="EM111" s="25"/>
      <c r="EN111" s="25"/>
      <c r="EO111" s="25"/>
      <c r="EP111" s="25"/>
      <c r="EQ111" s="25"/>
      <c r="ER111" s="25"/>
      <c r="ES111" s="25"/>
      <c r="ET111" s="25"/>
    </row>
    <row r="112" spans="9:150" x14ac:dyDescent="0.25"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  <c r="AL112" s="25"/>
      <c r="AM112" s="25"/>
      <c r="AN112" s="25"/>
      <c r="AO112" s="25"/>
      <c r="AP112" s="25"/>
      <c r="AQ112" s="25"/>
      <c r="AR112" s="25"/>
      <c r="AS112" s="25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  <c r="BF112" s="25"/>
      <c r="BG112" s="25"/>
      <c r="BH112" s="25"/>
      <c r="BI112" s="25"/>
      <c r="BJ112" s="25"/>
      <c r="BK112" s="25"/>
      <c r="BL112" s="25"/>
      <c r="BM112" s="25"/>
      <c r="BN112" s="25"/>
      <c r="BO112" s="25"/>
      <c r="BP112" s="25"/>
      <c r="BQ112" s="25"/>
      <c r="BR112" s="25"/>
      <c r="BS112" s="25"/>
      <c r="BT112" s="25"/>
      <c r="BU112" s="25"/>
      <c r="BV112" s="25"/>
      <c r="BW112" s="25"/>
      <c r="BX112" s="25"/>
      <c r="BY112" s="25"/>
      <c r="BZ112" s="25"/>
      <c r="CA112" s="25"/>
      <c r="CB112" s="25"/>
      <c r="CC112" s="25"/>
      <c r="CD112" s="25"/>
      <c r="CE112" s="25"/>
      <c r="CF112" s="25"/>
      <c r="CG112" s="25"/>
      <c r="CH112" s="25"/>
      <c r="CI112" s="25"/>
      <c r="CJ112" s="25"/>
      <c r="CK112" s="25"/>
      <c r="CL112" s="25"/>
      <c r="CM112" s="25"/>
      <c r="CN112" s="25"/>
      <c r="CO112" s="25"/>
      <c r="CP112" s="25"/>
      <c r="CQ112" s="25"/>
      <c r="CR112" s="25"/>
      <c r="CS112" s="25"/>
      <c r="CT112" s="25"/>
      <c r="CU112" s="25"/>
      <c r="CV112" s="25"/>
      <c r="CW112" s="25"/>
      <c r="CX112" s="25"/>
      <c r="CY112" s="25"/>
      <c r="CZ112" s="25"/>
      <c r="DA112" s="25"/>
      <c r="DB112" s="25"/>
      <c r="DC112" s="25"/>
      <c r="DD112" s="25"/>
      <c r="DE112" s="25"/>
      <c r="DF112" s="25"/>
      <c r="DG112" s="25"/>
      <c r="DH112" s="25"/>
      <c r="DI112" s="25"/>
      <c r="DJ112" s="25"/>
      <c r="DK112" s="25"/>
      <c r="DL112" s="25"/>
      <c r="DM112" s="25"/>
      <c r="DN112" s="25"/>
      <c r="DO112" s="25"/>
      <c r="DP112" s="25"/>
      <c r="DQ112" s="25"/>
      <c r="DR112" s="25"/>
      <c r="DS112" s="25"/>
      <c r="DT112" s="25"/>
      <c r="DU112" s="25"/>
      <c r="DV112" s="25"/>
      <c r="DW112" s="25"/>
      <c r="DX112" s="25"/>
      <c r="DY112" s="25"/>
      <c r="DZ112" s="25"/>
      <c r="EA112" s="25"/>
      <c r="EB112" s="25"/>
      <c r="EC112" s="25"/>
      <c r="ED112" s="25"/>
      <c r="EE112" s="25"/>
      <c r="EF112" s="25"/>
      <c r="EG112" s="25"/>
      <c r="EH112" s="25"/>
      <c r="EI112" s="25"/>
      <c r="EJ112" s="25"/>
      <c r="EK112" s="25"/>
      <c r="EL112" s="25"/>
      <c r="EM112" s="25"/>
      <c r="EN112" s="25"/>
      <c r="EO112" s="25"/>
      <c r="EP112" s="25"/>
      <c r="EQ112" s="25"/>
      <c r="ER112" s="25"/>
      <c r="ES112" s="25"/>
      <c r="ET112" s="25"/>
    </row>
    <row r="113" spans="9:150" x14ac:dyDescent="0.25"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25"/>
      <c r="AM113" s="25"/>
      <c r="AN113" s="25"/>
      <c r="AO113" s="25"/>
      <c r="AP113" s="25"/>
      <c r="AQ113" s="25"/>
      <c r="AR113" s="25"/>
      <c r="AS113" s="25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  <c r="BF113" s="25"/>
      <c r="BG113" s="25"/>
      <c r="BH113" s="25"/>
      <c r="BI113" s="25"/>
      <c r="BJ113" s="25"/>
      <c r="BK113" s="25"/>
      <c r="BL113" s="25"/>
      <c r="BM113" s="25"/>
      <c r="BN113" s="25"/>
      <c r="BO113" s="25"/>
      <c r="BP113" s="25"/>
      <c r="BQ113" s="25"/>
      <c r="BR113" s="25"/>
      <c r="BS113" s="25"/>
      <c r="BT113" s="25"/>
      <c r="BU113" s="25"/>
      <c r="BV113" s="25"/>
      <c r="BW113" s="25"/>
      <c r="BX113" s="25"/>
      <c r="BY113" s="25"/>
      <c r="BZ113" s="25"/>
      <c r="CA113" s="25"/>
      <c r="CB113" s="25"/>
      <c r="CC113" s="25"/>
      <c r="CD113" s="25"/>
      <c r="CE113" s="25"/>
      <c r="CF113" s="25"/>
      <c r="CG113" s="25"/>
      <c r="CH113" s="25"/>
      <c r="CI113" s="25"/>
      <c r="CJ113" s="25"/>
      <c r="CK113" s="25"/>
      <c r="CL113" s="25"/>
      <c r="CM113" s="25"/>
      <c r="CN113" s="25"/>
      <c r="CO113" s="25"/>
      <c r="CP113" s="25"/>
      <c r="CQ113" s="25"/>
      <c r="CR113" s="25"/>
      <c r="CS113" s="25"/>
      <c r="CT113" s="25"/>
      <c r="CU113" s="25"/>
      <c r="CV113" s="25"/>
      <c r="CW113" s="25"/>
      <c r="CX113" s="25"/>
      <c r="CY113" s="25"/>
      <c r="CZ113" s="25"/>
      <c r="DA113" s="25"/>
      <c r="DB113" s="25"/>
      <c r="DC113" s="25"/>
      <c r="DD113" s="25"/>
      <c r="DE113" s="25"/>
      <c r="DF113" s="25"/>
      <c r="DG113" s="25"/>
      <c r="DH113" s="25"/>
      <c r="DI113" s="25"/>
      <c r="DJ113" s="25"/>
      <c r="DK113" s="25"/>
      <c r="DL113" s="25"/>
      <c r="DM113" s="25"/>
      <c r="DN113" s="25"/>
      <c r="DO113" s="25"/>
      <c r="DP113" s="25"/>
      <c r="DQ113" s="25"/>
      <c r="DR113" s="25"/>
      <c r="DS113" s="25"/>
      <c r="DT113" s="25"/>
      <c r="DU113" s="25"/>
      <c r="DV113" s="25"/>
      <c r="DW113" s="25"/>
      <c r="DX113" s="25"/>
      <c r="DY113" s="25"/>
      <c r="DZ113" s="25"/>
      <c r="EA113" s="25"/>
      <c r="EB113" s="25"/>
      <c r="EC113" s="25"/>
      <c r="ED113" s="25"/>
      <c r="EE113" s="25"/>
      <c r="EF113" s="25"/>
      <c r="EG113" s="25"/>
      <c r="EH113" s="25"/>
      <c r="EI113" s="25"/>
      <c r="EJ113" s="25"/>
      <c r="EK113" s="25"/>
      <c r="EL113" s="25"/>
      <c r="EM113" s="25"/>
      <c r="EN113" s="25"/>
      <c r="EO113" s="25"/>
      <c r="EP113" s="25"/>
      <c r="EQ113" s="25"/>
      <c r="ER113" s="25"/>
      <c r="ES113" s="25"/>
      <c r="ET113" s="25"/>
    </row>
    <row r="114" spans="9:150" x14ac:dyDescent="0.25"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  <c r="AM114" s="25"/>
      <c r="AN114" s="25"/>
      <c r="AO114" s="25"/>
      <c r="AP114" s="25"/>
      <c r="AQ114" s="25"/>
      <c r="AR114" s="25"/>
      <c r="AS114" s="25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  <c r="BF114" s="25"/>
      <c r="BG114" s="25"/>
      <c r="BH114" s="25"/>
      <c r="BI114" s="25"/>
      <c r="BJ114" s="25"/>
      <c r="BK114" s="25"/>
      <c r="BL114" s="25"/>
      <c r="BM114" s="25"/>
      <c r="BN114" s="25"/>
      <c r="BO114" s="25"/>
      <c r="BP114" s="25"/>
      <c r="BQ114" s="25"/>
      <c r="BR114" s="25"/>
      <c r="BS114" s="25"/>
      <c r="BT114" s="25"/>
      <c r="BU114" s="25"/>
      <c r="BV114" s="25"/>
      <c r="BW114" s="25"/>
      <c r="BX114" s="25"/>
      <c r="BY114" s="25"/>
      <c r="BZ114" s="25"/>
      <c r="CA114" s="25"/>
      <c r="CB114" s="25"/>
      <c r="CC114" s="25"/>
      <c r="CD114" s="25"/>
      <c r="CE114" s="25"/>
      <c r="CF114" s="25"/>
      <c r="CG114" s="25"/>
      <c r="CH114" s="25"/>
      <c r="CI114" s="25"/>
      <c r="CJ114" s="25"/>
      <c r="CK114" s="25"/>
      <c r="CL114" s="25"/>
      <c r="CM114" s="25"/>
      <c r="CN114" s="25"/>
      <c r="CO114" s="25"/>
      <c r="CP114" s="25"/>
      <c r="CQ114" s="25"/>
      <c r="CR114" s="25"/>
      <c r="CS114" s="25"/>
      <c r="CT114" s="25"/>
      <c r="CU114" s="25"/>
      <c r="CV114" s="25"/>
      <c r="CW114" s="25"/>
      <c r="CX114" s="25"/>
      <c r="CY114" s="25"/>
      <c r="CZ114" s="25"/>
      <c r="DA114" s="25"/>
      <c r="DB114" s="25"/>
      <c r="DC114" s="25"/>
      <c r="DD114" s="25"/>
      <c r="DE114" s="25"/>
      <c r="DF114" s="25"/>
      <c r="DG114" s="25"/>
      <c r="DH114" s="25"/>
      <c r="DI114" s="25"/>
      <c r="DJ114" s="25"/>
      <c r="DK114" s="25"/>
      <c r="DL114" s="25"/>
      <c r="DM114" s="25"/>
      <c r="DN114" s="25"/>
      <c r="DO114" s="25"/>
      <c r="DP114" s="25"/>
      <c r="DQ114" s="25"/>
      <c r="DR114" s="25"/>
      <c r="DS114" s="25"/>
      <c r="DT114" s="25"/>
      <c r="DU114" s="25"/>
      <c r="DV114" s="25"/>
      <c r="DW114" s="25"/>
      <c r="DX114" s="25"/>
      <c r="DY114" s="25"/>
      <c r="DZ114" s="25"/>
      <c r="EA114" s="25"/>
      <c r="EB114" s="25"/>
      <c r="EC114" s="25"/>
      <c r="ED114" s="25"/>
      <c r="EE114" s="25"/>
      <c r="EF114" s="25"/>
      <c r="EG114" s="25"/>
      <c r="EH114" s="25"/>
      <c r="EI114" s="25"/>
      <c r="EJ114" s="25"/>
      <c r="EK114" s="25"/>
      <c r="EL114" s="25"/>
      <c r="EM114" s="25"/>
      <c r="EN114" s="25"/>
      <c r="EO114" s="25"/>
      <c r="EP114" s="25"/>
      <c r="EQ114" s="25"/>
      <c r="ER114" s="25"/>
      <c r="ES114" s="25"/>
      <c r="ET114" s="25"/>
    </row>
    <row r="115" spans="9:150" x14ac:dyDescent="0.25"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5"/>
      <c r="AL115" s="25"/>
      <c r="AM115" s="25"/>
      <c r="AN115" s="25"/>
      <c r="AO115" s="25"/>
      <c r="AP115" s="25"/>
      <c r="AQ115" s="25"/>
      <c r="AR115" s="25"/>
      <c r="AS115" s="25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  <c r="BF115" s="25"/>
      <c r="BG115" s="25"/>
      <c r="BH115" s="25"/>
      <c r="BI115" s="25"/>
      <c r="BJ115" s="25"/>
      <c r="BK115" s="25"/>
      <c r="BL115" s="25"/>
      <c r="BM115" s="25"/>
      <c r="BN115" s="25"/>
      <c r="BO115" s="25"/>
      <c r="BP115" s="25"/>
      <c r="BQ115" s="25"/>
      <c r="BR115" s="25"/>
      <c r="BS115" s="25"/>
      <c r="BT115" s="25"/>
      <c r="BU115" s="25"/>
      <c r="BV115" s="25"/>
      <c r="BW115" s="25"/>
      <c r="BX115" s="25"/>
      <c r="BY115" s="25"/>
      <c r="BZ115" s="25"/>
      <c r="CA115" s="25"/>
      <c r="CB115" s="25"/>
      <c r="CC115" s="25"/>
      <c r="CD115" s="25"/>
      <c r="CE115" s="25"/>
      <c r="CF115" s="25"/>
      <c r="CG115" s="25"/>
      <c r="CH115" s="25"/>
      <c r="CI115" s="25"/>
      <c r="CJ115" s="25"/>
      <c r="CK115" s="25"/>
      <c r="CL115" s="25"/>
      <c r="CM115" s="25"/>
      <c r="CN115" s="25"/>
      <c r="CO115" s="25"/>
      <c r="CP115" s="25"/>
      <c r="CQ115" s="25"/>
      <c r="CR115" s="25"/>
      <c r="CS115" s="25"/>
      <c r="CT115" s="25"/>
      <c r="CU115" s="25"/>
      <c r="CV115" s="25"/>
      <c r="CW115" s="25"/>
      <c r="CX115" s="25"/>
      <c r="CY115" s="25"/>
      <c r="CZ115" s="25"/>
      <c r="DA115" s="25"/>
      <c r="DB115" s="25"/>
      <c r="DC115" s="25"/>
      <c r="DD115" s="25"/>
      <c r="DE115" s="25"/>
      <c r="DF115" s="25"/>
      <c r="DG115" s="25"/>
      <c r="DH115" s="25"/>
      <c r="DI115" s="25"/>
      <c r="DJ115" s="25"/>
      <c r="DK115" s="25"/>
      <c r="DL115" s="25"/>
      <c r="DM115" s="25"/>
      <c r="DN115" s="25"/>
      <c r="DO115" s="25"/>
      <c r="DP115" s="25"/>
      <c r="DQ115" s="25"/>
      <c r="DR115" s="25"/>
      <c r="DS115" s="25"/>
      <c r="DT115" s="25"/>
      <c r="DU115" s="25"/>
      <c r="DV115" s="25"/>
      <c r="DW115" s="25"/>
      <c r="DX115" s="25"/>
      <c r="DY115" s="25"/>
      <c r="DZ115" s="25"/>
      <c r="EA115" s="25"/>
      <c r="EB115" s="25"/>
      <c r="EC115" s="25"/>
      <c r="ED115" s="25"/>
      <c r="EE115" s="25"/>
      <c r="EF115" s="25"/>
      <c r="EG115" s="25"/>
      <c r="EH115" s="25"/>
      <c r="EI115" s="25"/>
      <c r="EJ115" s="25"/>
      <c r="EK115" s="25"/>
      <c r="EL115" s="25"/>
      <c r="EM115" s="25"/>
      <c r="EN115" s="25"/>
      <c r="EO115" s="25"/>
      <c r="EP115" s="25"/>
      <c r="EQ115" s="25"/>
      <c r="ER115" s="25"/>
      <c r="ES115" s="25"/>
      <c r="ET115" s="25"/>
    </row>
    <row r="116" spans="9:150" x14ac:dyDescent="0.25"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25"/>
      <c r="AM116" s="25"/>
      <c r="AN116" s="25"/>
      <c r="AO116" s="25"/>
      <c r="AP116" s="25"/>
      <c r="AQ116" s="25"/>
      <c r="AR116" s="25"/>
      <c r="AS116" s="25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  <c r="BF116" s="25"/>
      <c r="BG116" s="25"/>
      <c r="BH116" s="25"/>
      <c r="BI116" s="25"/>
      <c r="BJ116" s="25"/>
      <c r="BK116" s="25"/>
      <c r="BL116" s="25"/>
      <c r="BM116" s="25"/>
      <c r="BN116" s="25"/>
      <c r="BO116" s="25"/>
      <c r="BP116" s="25"/>
      <c r="BQ116" s="25"/>
      <c r="BR116" s="25"/>
      <c r="BS116" s="25"/>
      <c r="BT116" s="25"/>
      <c r="BU116" s="25"/>
      <c r="BV116" s="25"/>
      <c r="BW116" s="25"/>
      <c r="BX116" s="25"/>
      <c r="BY116" s="25"/>
      <c r="BZ116" s="25"/>
      <c r="CA116" s="25"/>
      <c r="CB116" s="25"/>
      <c r="CC116" s="25"/>
      <c r="CD116" s="25"/>
      <c r="CE116" s="25"/>
      <c r="CF116" s="25"/>
      <c r="CG116" s="25"/>
      <c r="CH116" s="25"/>
      <c r="CI116" s="25"/>
      <c r="CJ116" s="25"/>
      <c r="CK116" s="25"/>
      <c r="CL116" s="25"/>
      <c r="CM116" s="25"/>
      <c r="CN116" s="25"/>
      <c r="CO116" s="25"/>
      <c r="CP116" s="25"/>
      <c r="CQ116" s="25"/>
      <c r="CR116" s="25"/>
      <c r="CS116" s="25"/>
      <c r="CT116" s="25"/>
      <c r="CU116" s="25"/>
      <c r="CV116" s="25"/>
      <c r="CW116" s="25"/>
      <c r="CX116" s="25"/>
      <c r="CY116" s="25"/>
      <c r="CZ116" s="25"/>
      <c r="DA116" s="25"/>
      <c r="DB116" s="25"/>
      <c r="DC116" s="25"/>
      <c r="DD116" s="25"/>
      <c r="DE116" s="25"/>
      <c r="DF116" s="25"/>
      <c r="DG116" s="25"/>
      <c r="DH116" s="25"/>
      <c r="DI116" s="25"/>
      <c r="DJ116" s="25"/>
      <c r="DK116" s="25"/>
      <c r="DL116" s="25"/>
      <c r="DM116" s="25"/>
      <c r="DN116" s="25"/>
      <c r="DO116" s="25"/>
      <c r="DP116" s="25"/>
      <c r="DQ116" s="25"/>
      <c r="DR116" s="25"/>
      <c r="DS116" s="25"/>
      <c r="DT116" s="25"/>
      <c r="DU116" s="25"/>
      <c r="DV116" s="25"/>
      <c r="DW116" s="25"/>
      <c r="DX116" s="25"/>
      <c r="DY116" s="25"/>
      <c r="DZ116" s="25"/>
      <c r="EA116" s="25"/>
      <c r="EB116" s="25"/>
      <c r="EC116" s="25"/>
      <c r="ED116" s="25"/>
      <c r="EE116" s="25"/>
      <c r="EF116" s="25"/>
      <c r="EG116" s="25"/>
      <c r="EH116" s="25"/>
      <c r="EI116" s="25"/>
      <c r="EJ116" s="25"/>
      <c r="EK116" s="25"/>
      <c r="EL116" s="25"/>
      <c r="EM116" s="25"/>
      <c r="EN116" s="25"/>
      <c r="EO116" s="25"/>
      <c r="EP116" s="25"/>
      <c r="EQ116" s="25"/>
      <c r="ER116" s="25"/>
      <c r="ES116" s="25"/>
      <c r="ET116" s="25"/>
    </row>
    <row r="117" spans="9:150" x14ac:dyDescent="0.25"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5"/>
      <c r="AL117" s="25"/>
      <c r="AM117" s="25"/>
      <c r="AN117" s="25"/>
      <c r="AO117" s="25"/>
      <c r="AP117" s="25"/>
      <c r="AQ117" s="25"/>
      <c r="AR117" s="25"/>
      <c r="AS117" s="25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  <c r="BF117" s="25"/>
      <c r="BG117" s="25"/>
      <c r="BH117" s="25"/>
      <c r="BI117" s="25"/>
      <c r="BJ117" s="25"/>
      <c r="BK117" s="25"/>
      <c r="BL117" s="25"/>
      <c r="BM117" s="25"/>
      <c r="BN117" s="25"/>
      <c r="BO117" s="25"/>
      <c r="BP117" s="25"/>
      <c r="BQ117" s="25"/>
      <c r="BR117" s="25"/>
      <c r="BS117" s="25"/>
      <c r="BT117" s="25"/>
      <c r="BU117" s="25"/>
      <c r="BV117" s="25"/>
      <c r="BW117" s="25"/>
      <c r="BX117" s="25"/>
      <c r="BY117" s="25"/>
      <c r="BZ117" s="25"/>
      <c r="CA117" s="25"/>
      <c r="CB117" s="25"/>
      <c r="CC117" s="25"/>
      <c r="CD117" s="25"/>
      <c r="CE117" s="25"/>
      <c r="CF117" s="25"/>
      <c r="CG117" s="25"/>
      <c r="CH117" s="25"/>
      <c r="CI117" s="25"/>
      <c r="CJ117" s="25"/>
      <c r="CK117" s="25"/>
      <c r="CL117" s="25"/>
      <c r="CM117" s="25"/>
      <c r="CN117" s="25"/>
      <c r="CO117" s="25"/>
      <c r="CP117" s="25"/>
      <c r="CQ117" s="25"/>
      <c r="CR117" s="25"/>
      <c r="CS117" s="25"/>
      <c r="CT117" s="25"/>
      <c r="CU117" s="25"/>
      <c r="CV117" s="25"/>
      <c r="CW117" s="25"/>
      <c r="CX117" s="25"/>
      <c r="CY117" s="25"/>
      <c r="CZ117" s="25"/>
      <c r="DA117" s="25"/>
      <c r="DB117" s="25"/>
      <c r="DC117" s="25"/>
      <c r="DD117" s="25"/>
      <c r="DE117" s="25"/>
      <c r="DF117" s="25"/>
      <c r="DG117" s="25"/>
      <c r="DH117" s="25"/>
      <c r="DI117" s="25"/>
      <c r="DJ117" s="25"/>
      <c r="DK117" s="25"/>
      <c r="DL117" s="25"/>
      <c r="DM117" s="25"/>
      <c r="DN117" s="25"/>
      <c r="DO117" s="25"/>
      <c r="DP117" s="25"/>
      <c r="DQ117" s="25"/>
      <c r="DR117" s="25"/>
      <c r="DS117" s="25"/>
      <c r="DT117" s="25"/>
      <c r="DU117" s="25"/>
      <c r="DV117" s="25"/>
      <c r="DW117" s="25"/>
      <c r="DX117" s="25"/>
      <c r="DY117" s="25"/>
      <c r="DZ117" s="25"/>
      <c r="EA117" s="25"/>
      <c r="EB117" s="25"/>
      <c r="EC117" s="25"/>
      <c r="ED117" s="25"/>
      <c r="EE117" s="25"/>
      <c r="EF117" s="25"/>
      <c r="EG117" s="25"/>
      <c r="EH117" s="25"/>
      <c r="EI117" s="25"/>
      <c r="EJ117" s="25"/>
      <c r="EK117" s="25"/>
      <c r="EL117" s="25"/>
      <c r="EM117" s="25"/>
      <c r="EN117" s="25"/>
      <c r="EO117" s="25"/>
      <c r="EP117" s="25"/>
      <c r="EQ117" s="25"/>
      <c r="ER117" s="25"/>
      <c r="ES117" s="25"/>
      <c r="ET117" s="25"/>
    </row>
    <row r="118" spans="9:150" x14ac:dyDescent="0.25"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5"/>
      <c r="AL118" s="25"/>
      <c r="AM118" s="25"/>
      <c r="AN118" s="25"/>
      <c r="AO118" s="25"/>
      <c r="AP118" s="25"/>
      <c r="AQ118" s="25"/>
      <c r="AR118" s="25"/>
      <c r="AS118" s="25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  <c r="BF118" s="25"/>
      <c r="BG118" s="25"/>
      <c r="BH118" s="25"/>
      <c r="BI118" s="25"/>
      <c r="BJ118" s="25"/>
      <c r="BK118" s="25"/>
      <c r="BL118" s="25"/>
      <c r="BM118" s="25"/>
      <c r="BN118" s="25"/>
      <c r="BO118" s="25"/>
      <c r="BP118" s="25"/>
      <c r="BQ118" s="25"/>
      <c r="BR118" s="25"/>
      <c r="BS118" s="25"/>
      <c r="BT118" s="25"/>
      <c r="BU118" s="25"/>
      <c r="BV118" s="25"/>
      <c r="BW118" s="25"/>
      <c r="BX118" s="25"/>
      <c r="BY118" s="25"/>
      <c r="BZ118" s="25"/>
      <c r="CA118" s="25"/>
      <c r="CB118" s="25"/>
      <c r="CC118" s="25"/>
      <c r="CD118" s="25"/>
      <c r="CE118" s="25"/>
      <c r="CF118" s="25"/>
      <c r="CG118" s="25"/>
      <c r="CH118" s="25"/>
      <c r="CI118" s="25"/>
      <c r="CJ118" s="25"/>
      <c r="CK118" s="25"/>
      <c r="CL118" s="25"/>
      <c r="CM118" s="25"/>
      <c r="CN118" s="25"/>
      <c r="CO118" s="25"/>
      <c r="CP118" s="25"/>
      <c r="CQ118" s="25"/>
      <c r="CR118" s="25"/>
      <c r="CS118" s="25"/>
      <c r="CT118" s="25"/>
      <c r="CU118" s="25"/>
      <c r="CV118" s="25"/>
      <c r="CW118" s="25"/>
      <c r="CX118" s="25"/>
      <c r="CY118" s="25"/>
      <c r="CZ118" s="25"/>
      <c r="DA118" s="25"/>
      <c r="DB118" s="25"/>
      <c r="DC118" s="25"/>
      <c r="DD118" s="25"/>
      <c r="DE118" s="25"/>
      <c r="DF118" s="25"/>
      <c r="DG118" s="25"/>
      <c r="DH118" s="25"/>
      <c r="DI118" s="25"/>
      <c r="DJ118" s="25"/>
      <c r="DK118" s="25"/>
      <c r="DL118" s="25"/>
      <c r="DM118" s="25"/>
      <c r="DN118" s="25"/>
      <c r="DO118" s="25"/>
      <c r="DP118" s="25"/>
      <c r="DQ118" s="25"/>
      <c r="DR118" s="25"/>
      <c r="DS118" s="25"/>
      <c r="DT118" s="25"/>
      <c r="DU118" s="25"/>
      <c r="DV118" s="25"/>
      <c r="DW118" s="25"/>
      <c r="DX118" s="25"/>
      <c r="DY118" s="25"/>
      <c r="DZ118" s="25"/>
      <c r="EA118" s="25"/>
      <c r="EB118" s="25"/>
      <c r="EC118" s="25"/>
      <c r="ED118" s="25"/>
      <c r="EE118" s="25"/>
      <c r="EF118" s="25"/>
      <c r="EG118" s="25"/>
      <c r="EH118" s="25"/>
      <c r="EI118" s="25"/>
      <c r="EJ118" s="25"/>
      <c r="EK118" s="25"/>
      <c r="EL118" s="25"/>
      <c r="EM118" s="25"/>
      <c r="EN118" s="25"/>
      <c r="EO118" s="25"/>
      <c r="EP118" s="25"/>
      <c r="EQ118" s="25"/>
      <c r="ER118" s="25"/>
      <c r="ES118" s="25"/>
      <c r="ET118" s="25"/>
    </row>
    <row r="119" spans="9:150" x14ac:dyDescent="0.25"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5"/>
      <c r="AL119" s="25"/>
      <c r="AM119" s="25"/>
      <c r="AN119" s="25"/>
      <c r="AO119" s="25"/>
      <c r="AP119" s="25"/>
      <c r="AQ119" s="25"/>
      <c r="AR119" s="25"/>
      <c r="AS119" s="25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  <c r="BF119" s="25"/>
      <c r="BG119" s="25"/>
      <c r="BH119" s="25"/>
      <c r="BI119" s="25"/>
      <c r="BJ119" s="25"/>
      <c r="BK119" s="25"/>
      <c r="BL119" s="25"/>
      <c r="BM119" s="25"/>
      <c r="BN119" s="25"/>
      <c r="BO119" s="25"/>
      <c r="BP119" s="25"/>
      <c r="BQ119" s="25"/>
      <c r="BR119" s="25"/>
      <c r="BS119" s="25"/>
      <c r="BT119" s="25"/>
      <c r="BU119" s="25"/>
      <c r="BV119" s="25"/>
      <c r="BW119" s="25"/>
      <c r="BX119" s="25"/>
      <c r="BY119" s="25"/>
      <c r="BZ119" s="25"/>
      <c r="CA119" s="25"/>
      <c r="CB119" s="25"/>
      <c r="CC119" s="25"/>
      <c r="CD119" s="25"/>
      <c r="CE119" s="25"/>
      <c r="CF119" s="25"/>
      <c r="CG119" s="25"/>
      <c r="CH119" s="25"/>
      <c r="CI119" s="25"/>
      <c r="CJ119" s="25"/>
      <c r="CK119" s="25"/>
      <c r="CL119" s="25"/>
      <c r="CM119" s="25"/>
      <c r="CN119" s="25"/>
      <c r="CO119" s="25"/>
      <c r="CP119" s="25"/>
      <c r="CQ119" s="25"/>
      <c r="CR119" s="25"/>
      <c r="CS119" s="25"/>
      <c r="CT119" s="25"/>
      <c r="CU119" s="25"/>
      <c r="CV119" s="25"/>
      <c r="CW119" s="25"/>
      <c r="CX119" s="25"/>
      <c r="CY119" s="25"/>
      <c r="CZ119" s="25"/>
      <c r="DA119" s="25"/>
      <c r="DB119" s="25"/>
      <c r="DC119" s="25"/>
      <c r="DD119" s="25"/>
      <c r="DE119" s="25"/>
      <c r="DF119" s="25"/>
      <c r="DG119" s="25"/>
      <c r="DH119" s="25"/>
      <c r="DI119" s="25"/>
      <c r="DJ119" s="25"/>
      <c r="DK119" s="25"/>
      <c r="DL119" s="25"/>
      <c r="DM119" s="25"/>
      <c r="DN119" s="25"/>
      <c r="DO119" s="25"/>
      <c r="DP119" s="25"/>
      <c r="DQ119" s="25"/>
      <c r="DR119" s="25"/>
      <c r="DS119" s="25"/>
      <c r="DT119" s="25"/>
      <c r="DU119" s="25"/>
      <c r="DV119" s="25"/>
      <c r="DW119" s="25"/>
      <c r="DX119" s="25"/>
      <c r="DY119" s="25"/>
      <c r="DZ119" s="25"/>
      <c r="EA119" s="25"/>
      <c r="EB119" s="25"/>
      <c r="EC119" s="25"/>
      <c r="ED119" s="25"/>
      <c r="EE119" s="25"/>
      <c r="EF119" s="25"/>
      <c r="EG119" s="25"/>
      <c r="EH119" s="25"/>
      <c r="EI119" s="25"/>
      <c r="EJ119" s="25"/>
      <c r="EK119" s="25"/>
      <c r="EL119" s="25"/>
      <c r="EM119" s="25"/>
      <c r="EN119" s="25"/>
      <c r="EO119" s="25"/>
      <c r="EP119" s="25"/>
      <c r="EQ119" s="25"/>
      <c r="ER119" s="25"/>
      <c r="ES119" s="25"/>
      <c r="ET119" s="25"/>
    </row>
    <row r="120" spans="9:150" x14ac:dyDescent="0.25"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  <c r="AL120" s="25"/>
      <c r="AM120" s="25"/>
      <c r="AN120" s="25"/>
      <c r="AO120" s="25"/>
      <c r="AP120" s="25"/>
      <c r="AQ120" s="25"/>
      <c r="AR120" s="25"/>
      <c r="AS120" s="25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  <c r="BF120" s="25"/>
      <c r="BG120" s="25"/>
      <c r="BH120" s="25"/>
      <c r="BI120" s="25"/>
      <c r="BJ120" s="25"/>
      <c r="BK120" s="25"/>
      <c r="BL120" s="25"/>
      <c r="BM120" s="25"/>
      <c r="BN120" s="25"/>
      <c r="BO120" s="25"/>
      <c r="BP120" s="25"/>
      <c r="BQ120" s="25"/>
      <c r="BR120" s="25"/>
      <c r="BS120" s="25"/>
      <c r="BT120" s="25"/>
      <c r="BU120" s="25"/>
      <c r="BV120" s="25"/>
      <c r="BW120" s="25"/>
      <c r="BX120" s="25"/>
      <c r="BY120" s="25"/>
      <c r="BZ120" s="25"/>
      <c r="CA120" s="25"/>
      <c r="CB120" s="25"/>
      <c r="CC120" s="25"/>
      <c r="CD120" s="25"/>
      <c r="CE120" s="25"/>
      <c r="CF120" s="25"/>
      <c r="CG120" s="25"/>
      <c r="CH120" s="25"/>
      <c r="CI120" s="25"/>
      <c r="CJ120" s="25"/>
      <c r="CK120" s="25"/>
      <c r="CL120" s="25"/>
      <c r="CM120" s="25"/>
      <c r="CN120" s="25"/>
      <c r="CO120" s="25"/>
      <c r="CP120" s="25"/>
      <c r="CQ120" s="25"/>
      <c r="CR120" s="25"/>
      <c r="CS120" s="25"/>
      <c r="CT120" s="25"/>
      <c r="CU120" s="25"/>
      <c r="CV120" s="25"/>
      <c r="CW120" s="25"/>
      <c r="CX120" s="25"/>
      <c r="CY120" s="25"/>
      <c r="CZ120" s="25"/>
      <c r="DA120" s="25"/>
      <c r="DB120" s="25"/>
      <c r="DC120" s="25"/>
      <c r="DD120" s="25"/>
      <c r="DE120" s="25"/>
      <c r="DF120" s="25"/>
      <c r="DG120" s="25"/>
      <c r="DH120" s="25"/>
      <c r="DI120" s="25"/>
      <c r="DJ120" s="25"/>
      <c r="DK120" s="25"/>
      <c r="DL120" s="25"/>
      <c r="DM120" s="25"/>
      <c r="DN120" s="25"/>
      <c r="DO120" s="25"/>
      <c r="DP120" s="25"/>
      <c r="DQ120" s="25"/>
      <c r="DR120" s="25"/>
      <c r="DS120" s="25"/>
      <c r="DT120" s="25"/>
      <c r="DU120" s="25"/>
      <c r="DV120" s="25"/>
      <c r="DW120" s="25"/>
      <c r="DX120" s="25"/>
      <c r="DY120" s="25"/>
      <c r="DZ120" s="25"/>
      <c r="EA120" s="25"/>
      <c r="EB120" s="25"/>
      <c r="EC120" s="25"/>
      <c r="ED120" s="25"/>
      <c r="EE120" s="25"/>
      <c r="EF120" s="25"/>
      <c r="EG120" s="25"/>
      <c r="EH120" s="25"/>
      <c r="EI120" s="25"/>
      <c r="EJ120" s="25"/>
      <c r="EK120" s="25"/>
      <c r="EL120" s="25"/>
      <c r="EM120" s="25"/>
      <c r="EN120" s="25"/>
      <c r="EO120" s="25"/>
      <c r="EP120" s="25"/>
      <c r="EQ120" s="25"/>
      <c r="ER120" s="25"/>
      <c r="ES120" s="25"/>
      <c r="ET120" s="25"/>
    </row>
    <row r="121" spans="9:150" x14ac:dyDescent="0.25"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5"/>
      <c r="AL121" s="25"/>
      <c r="AM121" s="25"/>
      <c r="AN121" s="25"/>
      <c r="AO121" s="25"/>
      <c r="AP121" s="25"/>
      <c r="AQ121" s="25"/>
      <c r="AR121" s="25"/>
      <c r="AS121" s="25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  <c r="BF121" s="25"/>
      <c r="BG121" s="25"/>
      <c r="BH121" s="25"/>
      <c r="BI121" s="25"/>
      <c r="BJ121" s="25"/>
      <c r="BK121" s="25"/>
      <c r="BL121" s="25"/>
      <c r="BM121" s="25"/>
      <c r="BN121" s="25"/>
      <c r="BO121" s="25"/>
      <c r="BP121" s="25"/>
      <c r="BQ121" s="25"/>
      <c r="BR121" s="25"/>
      <c r="BS121" s="25"/>
      <c r="BT121" s="25"/>
      <c r="BU121" s="25"/>
      <c r="BV121" s="25"/>
      <c r="BW121" s="25"/>
      <c r="BX121" s="25"/>
      <c r="BY121" s="25"/>
      <c r="BZ121" s="25"/>
      <c r="CA121" s="25"/>
      <c r="CB121" s="25"/>
      <c r="CC121" s="25"/>
      <c r="CD121" s="25"/>
      <c r="CE121" s="25"/>
      <c r="CF121" s="25"/>
      <c r="CG121" s="25"/>
      <c r="CH121" s="25"/>
      <c r="CI121" s="25"/>
      <c r="CJ121" s="25"/>
      <c r="CK121" s="25"/>
      <c r="CL121" s="25"/>
      <c r="CM121" s="25"/>
      <c r="CN121" s="25"/>
      <c r="CO121" s="25"/>
      <c r="CP121" s="25"/>
      <c r="CQ121" s="25"/>
      <c r="CR121" s="25"/>
      <c r="CS121" s="25"/>
      <c r="CT121" s="25"/>
      <c r="CU121" s="25"/>
      <c r="CV121" s="25"/>
      <c r="CW121" s="25"/>
      <c r="CX121" s="25"/>
      <c r="CY121" s="25"/>
      <c r="CZ121" s="25"/>
      <c r="DA121" s="25"/>
      <c r="DB121" s="25"/>
      <c r="DC121" s="25"/>
      <c r="DD121" s="25"/>
      <c r="DE121" s="25"/>
      <c r="DF121" s="25"/>
      <c r="DG121" s="25"/>
      <c r="DH121" s="25"/>
      <c r="DI121" s="25"/>
      <c r="DJ121" s="25"/>
      <c r="DK121" s="25"/>
      <c r="DL121" s="25"/>
      <c r="DM121" s="25"/>
      <c r="DN121" s="25"/>
      <c r="DO121" s="25"/>
      <c r="DP121" s="25"/>
      <c r="DQ121" s="25"/>
      <c r="DR121" s="25"/>
      <c r="DS121" s="25"/>
      <c r="DT121" s="25"/>
      <c r="DU121" s="25"/>
      <c r="DV121" s="25"/>
      <c r="DW121" s="25"/>
      <c r="DX121" s="25"/>
      <c r="DY121" s="25"/>
      <c r="DZ121" s="25"/>
      <c r="EA121" s="25"/>
      <c r="EB121" s="25"/>
      <c r="EC121" s="25"/>
      <c r="ED121" s="25"/>
      <c r="EE121" s="25"/>
      <c r="EF121" s="25"/>
      <c r="EG121" s="25"/>
      <c r="EH121" s="25"/>
      <c r="EI121" s="25"/>
      <c r="EJ121" s="25"/>
      <c r="EK121" s="25"/>
      <c r="EL121" s="25"/>
      <c r="EM121" s="25"/>
      <c r="EN121" s="25"/>
      <c r="EO121" s="25"/>
      <c r="EP121" s="25"/>
      <c r="EQ121" s="25"/>
      <c r="ER121" s="25"/>
      <c r="ES121" s="25"/>
      <c r="ET121" s="25"/>
    </row>
    <row r="122" spans="9:150" x14ac:dyDescent="0.25"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25"/>
      <c r="AM122" s="25"/>
      <c r="AN122" s="25"/>
      <c r="AO122" s="25"/>
      <c r="AP122" s="25"/>
      <c r="AQ122" s="25"/>
      <c r="AR122" s="25"/>
      <c r="AS122" s="25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  <c r="BF122" s="25"/>
      <c r="BG122" s="25"/>
      <c r="BH122" s="25"/>
      <c r="BI122" s="25"/>
      <c r="BJ122" s="25"/>
      <c r="BK122" s="25"/>
      <c r="BL122" s="25"/>
      <c r="BM122" s="25"/>
      <c r="BN122" s="25"/>
      <c r="BO122" s="25"/>
      <c r="BP122" s="25"/>
      <c r="BQ122" s="25"/>
      <c r="BR122" s="25"/>
      <c r="BS122" s="25"/>
      <c r="BT122" s="25"/>
      <c r="BU122" s="25"/>
      <c r="BV122" s="25"/>
      <c r="BW122" s="25"/>
      <c r="BX122" s="25"/>
      <c r="BY122" s="25"/>
      <c r="BZ122" s="25"/>
      <c r="CA122" s="25"/>
      <c r="CB122" s="25"/>
      <c r="CC122" s="25"/>
      <c r="CD122" s="25"/>
      <c r="CE122" s="25"/>
      <c r="CF122" s="25"/>
      <c r="CG122" s="25"/>
      <c r="CH122" s="25"/>
      <c r="CI122" s="25"/>
      <c r="CJ122" s="25"/>
      <c r="CK122" s="25"/>
      <c r="CL122" s="25"/>
      <c r="CM122" s="25"/>
      <c r="CN122" s="25"/>
      <c r="CO122" s="25"/>
      <c r="CP122" s="25"/>
      <c r="CQ122" s="25"/>
      <c r="CR122" s="25"/>
      <c r="CS122" s="25"/>
      <c r="CT122" s="25"/>
      <c r="CU122" s="25"/>
      <c r="CV122" s="25"/>
      <c r="CW122" s="25"/>
      <c r="CX122" s="25"/>
      <c r="CY122" s="25"/>
      <c r="CZ122" s="25"/>
      <c r="DA122" s="25"/>
      <c r="DB122" s="25"/>
      <c r="DC122" s="25"/>
      <c r="DD122" s="25"/>
      <c r="DE122" s="25"/>
      <c r="DF122" s="25"/>
      <c r="DG122" s="25"/>
      <c r="DH122" s="25"/>
      <c r="DI122" s="25"/>
      <c r="DJ122" s="25"/>
      <c r="DK122" s="25"/>
      <c r="DL122" s="25"/>
      <c r="DM122" s="25"/>
      <c r="DN122" s="25"/>
      <c r="DO122" s="25"/>
      <c r="DP122" s="25"/>
      <c r="DQ122" s="25"/>
      <c r="DR122" s="25"/>
      <c r="DS122" s="25"/>
      <c r="DT122" s="25"/>
      <c r="DU122" s="25"/>
      <c r="DV122" s="25"/>
      <c r="DW122" s="25"/>
      <c r="DX122" s="25"/>
      <c r="DY122" s="25"/>
      <c r="DZ122" s="25"/>
      <c r="EA122" s="25"/>
      <c r="EB122" s="25"/>
      <c r="EC122" s="25"/>
      <c r="ED122" s="25"/>
      <c r="EE122" s="25"/>
      <c r="EF122" s="25"/>
      <c r="EG122" s="25"/>
      <c r="EH122" s="25"/>
      <c r="EI122" s="25"/>
      <c r="EJ122" s="25"/>
      <c r="EK122" s="25"/>
      <c r="EL122" s="25"/>
      <c r="EM122" s="25"/>
      <c r="EN122" s="25"/>
      <c r="EO122" s="25"/>
      <c r="EP122" s="25"/>
      <c r="EQ122" s="25"/>
      <c r="ER122" s="25"/>
      <c r="ES122" s="25"/>
      <c r="ET122" s="25"/>
    </row>
    <row r="123" spans="9:150" x14ac:dyDescent="0.25"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25"/>
      <c r="AM123" s="25"/>
      <c r="AN123" s="25"/>
      <c r="AO123" s="25"/>
      <c r="AP123" s="25"/>
      <c r="AQ123" s="25"/>
      <c r="AR123" s="25"/>
      <c r="AS123" s="25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  <c r="BF123" s="25"/>
      <c r="BG123" s="25"/>
      <c r="BH123" s="25"/>
      <c r="BI123" s="25"/>
      <c r="BJ123" s="25"/>
      <c r="BK123" s="25"/>
      <c r="BL123" s="25"/>
      <c r="BM123" s="25"/>
      <c r="BN123" s="25"/>
      <c r="BO123" s="25"/>
      <c r="BP123" s="25"/>
      <c r="BQ123" s="25"/>
      <c r="BR123" s="25"/>
      <c r="BS123" s="25"/>
      <c r="BT123" s="25"/>
      <c r="BU123" s="25"/>
      <c r="BV123" s="25"/>
      <c r="BW123" s="25"/>
      <c r="BX123" s="25"/>
      <c r="BY123" s="25"/>
      <c r="BZ123" s="25"/>
      <c r="CA123" s="25"/>
      <c r="CB123" s="25"/>
      <c r="CC123" s="25"/>
      <c r="CD123" s="25"/>
      <c r="CE123" s="25"/>
      <c r="CF123" s="25"/>
      <c r="CG123" s="25"/>
      <c r="CH123" s="25"/>
      <c r="CI123" s="25"/>
      <c r="CJ123" s="25"/>
      <c r="CK123" s="25"/>
      <c r="CL123" s="25"/>
      <c r="CM123" s="25"/>
      <c r="CN123" s="25"/>
      <c r="CO123" s="25"/>
      <c r="CP123" s="25"/>
      <c r="CQ123" s="25"/>
      <c r="CR123" s="25"/>
      <c r="CS123" s="25"/>
      <c r="CT123" s="25"/>
      <c r="CU123" s="25"/>
      <c r="CV123" s="25"/>
      <c r="CW123" s="25"/>
      <c r="CX123" s="25"/>
      <c r="CY123" s="25"/>
      <c r="CZ123" s="25"/>
      <c r="DA123" s="25"/>
      <c r="DB123" s="25"/>
      <c r="DC123" s="25"/>
      <c r="DD123" s="25"/>
      <c r="DE123" s="25"/>
      <c r="DF123" s="25"/>
      <c r="DG123" s="25"/>
      <c r="DH123" s="25"/>
      <c r="DI123" s="25"/>
      <c r="DJ123" s="25"/>
      <c r="DK123" s="25"/>
      <c r="DL123" s="25"/>
      <c r="DM123" s="25"/>
      <c r="DN123" s="25"/>
      <c r="DO123" s="25"/>
      <c r="DP123" s="25"/>
      <c r="DQ123" s="25"/>
      <c r="DR123" s="25"/>
      <c r="DS123" s="25"/>
      <c r="DT123" s="25"/>
      <c r="DU123" s="25"/>
      <c r="DV123" s="25"/>
      <c r="DW123" s="25"/>
      <c r="DX123" s="25"/>
      <c r="DY123" s="25"/>
      <c r="DZ123" s="25"/>
      <c r="EA123" s="25"/>
      <c r="EB123" s="25"/>
      <c r="EC123" s="25"/>
      <c r="ED123" s="25"/>
      <c r="EE123" s="25"/>
      <c r="EF123" s="25"/>
      <c r="EG123" s="25"/>
      <c r="EH123" s="25"/>
      <c r="EI123" s="25"/>
      <c r="EJ123" s="25"/>
      <c r="EK123" s="25"/>
      <c r="EL123" s="25"/>
      <c r="EM123" s="25"/>
      <c r="EN123" s="25"/>
      <c r="EO123" s="25"/>
      <c r="EP123" s="25"/>
      <c r="EQ123" s="25"/>
      <c r="ER123" s="25"/>
      <c r="ES123" s="25"/>
      <c r="ET123" s="25"/>
    </row>
    <row r="124" spans="9:150" x14ac:dyDescent="0.25"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25"/>
      <c r="AM124" s="25"/>
      <c r="AN124" s="25"/>
      <c r="AO124" s="25"/>
      <c r="AP124" s="25"/>
      <c r="AQ124" s="25"/>
      <c r="AR124" s="25"/>
      <c r="AS124" s="25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  <c r="BF124" s="25"/>
      <c r="BG124" s="25"/>
      <c r="BH124" s="25"/>
      <c r="BI124" s="25"/>
      <c r="BJ124" s="25"/>
      <c r="BK124" s="25"/>
      <c r="BL124" s="25"/>
      <c r="BM124" s="25"/>
      <c r="BN124" s="25"/>
      <c r="BO124" s="25"/>
      <c r="BP124" s="25"/>
      <c r="BQ124" s="25"/>
      <c r="BR124" s="25"/>
      <c r="BS124" s="25"/>
      <c r="BT124" s="25"/>
      <c r="BU124" s="25"/>
      <c r="BV124" s="25"/>
      <c r="BW124" s="25"/>
      <c r="BX124" s="25"/>
      <c r="BY124" s="25"/>
      <c r="BZ124" s="25"/>
      <c r="CA124" s="25"/>
      <c r="CB124" s="25"/>
      <c r="CC124" s="25"/>
      <c r="CD124" s="25"/>
      <c r="CE124" s="25"/>
      <c r="CF124" s="25"/>
      <c r="CG124" s="25"/>
      <c r="CH124" s="25"/>
      <c r="CI124" s="25"/>
      <c r="CJ124" s="25"/>
      <c r="CK124" s="25"/>
      <c r="CL124" s="25"/>
      <c r="CM124" s="25"/>
      <c r="CN124" s="25"/>
      <c r="CO124" s="25"/>
      <c r="CP124" s="25"/>
      <c r="CQ124" s="25"/>
      <c r="CR124" s="25"/>
      <c r="CS124" s="25"/>
      <c r="CT124" s="25"/>
      <c r="CU124" s="25"/>
      <c r="CV124" s="25"/>
      <c r="CW124" s="25"/>
      <c r="CX124" s="25"/>
      <c r="CY124" s="25"/>
      <c r="CZ124" s="25"/>
      <c r="DA124" s="25"/>
      <c r="DB124" s="25"/>
      <c r="DC124" s="25"/>
      <c r="DD124" s="25"/>
      <c r="DE124" s="25"/>
      <c r="DF124" s="25"/>
      <c r="DG124" s="25"/>
      <c r="DH124" s="25"/>
      <c r="DI124" s="25"/>
      <c r="DJ124" s="25"/>
      <c r="DK124" s="25"/>
      <c r="DL124" s="25"/>
      <c r="DM124" s="25"/>
      <c r="DN124" s="25"/>
      <c r="DO124" s="25"/>
      <c r="DP124" s="25"/>
      <c r="DQ124" s="25"/>
      <c r="DR124" s="25"/>
      <c r="DS124" s="25"/>
      <c r="DT124" s="25"/>
      <c r="DU124" s="25"/>
      <c r="DV124" s="25"/>
      <c r="DW124" s="25"/>
      <c r="DX124" s="25"/>
      <c r="DY124" s="25"/>
      <c r="DZ124" s="25"/>
      <c r="EA124" s="25"/>
      <c r="EB124" s="25"/>
      <c r="EC124" s="25"/>
      <c r="ED124" s="25"/>
      <c r="EE124" s="25"/>
      <c r="EF124" s="25"/>
      <c r="EG124" s="25"/>
      <c r="EH124" s="25"/>
      <c r="EI124" s="25"/>
      <c r="EJ124" s="25"/>
      <c r="EK124" s="25"/>
      <c r="EL124" s="25"/>
      <c r="EM124" s="25"/>
      <c r="EN124" s="25"/>
      <c r="EO124" s="25"/>
      <c r="EP124" s="25"/>
      <c r="EQ124" s="25"/>
      <c r="ER124" s="25"/>
      <c r="ES124" s="25"/>
      <c r="ET124" s="25"/>
    </row>
    <row r="125" spans="9:150" x14ac:dyDescent="0.25"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25"/>
      <c r="AM125" s="25"/>
      <c r="AN125" s="25"/>
      <c r="AO125" s="25"/>
      <c r="AP125" s="25"/>
      <c r="AQ125" s="25"/>
      <c r="AR125" s="25"/>
      <c r="AS125" s="25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  <c r="BF125" s="25"/>
      <c r="BG125" s="25"/>
      <c r="BH125" s="25"/>
      <c r="BI125" s="25"/>
      <c r="BJ125" s="25"/>
      <c r="BK125" s="25"/>
      <c r="BL125" s="25"/>
      <c r="BM125" s="25"/>
      <c r="BN125" s="25"/>
      <c r="BO125" s="25"/>
      <c r="BP125" s="25"/>
      <c r="BQ125" s="25"/>
      <c r="BR125" s="25"/>
      <c r="BS125" s="25"/>
      <c r="BT125" s="25"/>
      <c r="BU125" s="25"/>
      <c r="BV125" s="25"/>
      <c r="BW125" s="25"/>
      <c r="BX125" s="25"/>
      <c r="BY125" s="25"/>
      <c r="BZ125" s="25"/>
      <c r="CA125" s="25"/>
      <c r="CB125" s="25"/>
      <c r="CC125" s="25"/>
      <c r="CD125" s="25"/>
      <c r="CE125" s="25"/>
      <c r="CF125" s="25"/>
      <c r="CG125" s="25"/>
      <c r="CH125" s="25"/>
      <c r="CI125" s="25"/>
      <c r="CJ125" s="25"/>
      <c r="CK125" s="25"/>
      <c r="CL125" s="25"/>
      <c r="CM125" s="25"/>
      <c r="CN125" s="25"/>
      <c r="CO125" s="25"/>
      <c r="CP125" s="25"/>
      <c r="CQ125" s="25"/>
      <c r="CR125" s="25"/>
      <c r="CS125" s="25"/>
      <c r="CT125" s="25"/>
      <c r="CU125" s="25"/>
      <c r="CV125" s="25"/>
      <c r="CW125" s="25"/>
      <c r="CX125" s="25"/>
      <c r="CY125" s="25"/>
      <c r="CZ125" s="25"/>
      <c r="DA125" s="25"/>
      <c r="DB125" s="25"/>
      <c r="DC125" s="25"/>
      <c r="DD125" s="25"/>
      <c r="DE125" s="25"/>
      <c r="DF125" s="25"/>
      <c r="DG125" s="25"/>
      <c r="DH125" s="25"/>
      <c r="DI125" s="25"/>
      <c r="DJ125" s="25"/>
      <c r="DK125" s="25"/>
      <c r="DL125" s="25"/>
      <c r="DM125" s="25"/>
      <c r="DN125" s="25"/>
      <c r="DO125" s="25"/>
      <c r="DP125" s="25"/>
      <c r="DQ125" s="25"/>
      <c r="DR125" s="25"/>
      <c r="DS125" s="25"/>
      <c r="DT125" s="25"/>
      <c r="DU125" s="25"/>
      <c r="DV125" s="25"/>
      <c r="DW125" s="25"/>
      <c r="DX125" s="25"/>
      <c r="DY125" s="25"/>
      <c r="DZ125" s="25"/>
      <c r="EA125" s="25"/>
      <c r="EB125" s="25"/>
      <c r="EC125" s="25"/>
      <c r="ED125" s="25"/>
      <c r="EE125" s="25"/>
      <c r="EF125" s="25"/>
      <c r="EG125" s="25"/>
      <c r="EH125" s="25"/>
      <c r="EI125" s="25"/>
      <c r="EJ125" s="25"/>
      <c r="EK125" s="25"/>
      <c r="EL125" s="25"/>
      <c r="EM125" s="25"/>
      <c r="EN125" s="25"/>
      <c r="EO125" s="25"/>
      <c r="EP125" s="25"/>
      <c r="EQ125" s="25"/>
      <c r="ER125" s="25"/>
      <c r="ES125" s="25"/>
      <c r="ET125" s="25"/>
    </row>
    <row r="126" spans="9:150" x14ac:dyDescent="0.25"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  <c r="BI126" s="25"/>
      <c r="BJ126" s="25"/>
      <c r="BK126" s="25"/>
      <c r="BL126" s="25"/>
      <c r="BM126" s="25"/>
      <c r="BN126" s="25"/>
      <c r="BO126" s="25"/>
      <c r="BP126" s="25"/>
      <c r="BQ126" s="25"/>
      <c r="BR126" s="25"/>
      <c r="BS126" s="25"/>
      <c r="BT126" s="25"/>
      <c r="BU126" s="25"/>
      <c r="BV126" s="25"/>
      <c r="BW126" s="25"/>
      <c r="BX126" s="25"/>
      <c r="BY126" s="25"/>
      <c r="BZ126" s="25"/>
      <c r="CA126" s="25"/>
      <c r="CB126" s="25"/>
      <c r="CC126" s="25"/>
      <c r="CD126" s="25"/>
      <c r="CE126" s="25"/>
      <c r="CF126" s="25"/>
      <c r="CG126" s="25"/>
      <c r="CH126" s="25"/>
      <c r="CI126" s="25"/>
      <c r="CJ126" s="25"/>
      <c r="CK126" s="25"/>
      <c r="CL126" s="25"/>
      <c r="CM126" s="25"/>
      <c r="CN126" s="25"/>
      <c r="CO126" s="25"/>
      <c r="CP126" s="25"/>
      <c r="CQ126" s="25"/>
      <c r="CR126" s="25"/>
      <c r="CS126" s="25"/>
      <c r="CT126" s="25"/>
      <c r="CU126" s="25"/>
      <c r="CV126" s="25"/>
      <c r="CW126" s="25"/>
      <c r="CX126" s="25"/>
      <c r="CY126" s="25"/>
      <c r="CZ126" s="25"/>
      <c r="DA126" s="25"/>
      <c r="DB126" s="25"/>
      <c r="DC126" s="25"/>
      <c r="DD126" s="25"/>
      <c r="DE126" s="25"/>
      <c r="DF126" s="25"/>
      <c r="DG126" s="25"/>
      <c r="DH126" s="25"/>
      <c r="DI126" s="25"/>
      <c r="DJ126" s="25"/>
      <c r="DK126" s="25"/>
      <c r="DL126" s="25"/>
      <c r="DM126" s="25"/>
      <c r="DN126" s="25"/>
      <c r="DO126" s="25"/>
      <c r="DP126" s="25"/>
      <c r="DQ126" s="25"/>
      <c r="DR126" s="25"/>
      <c r="DS126" s="25"/>
      <c r="DT126" s="25"/>
      <c r="DU126" s="25"/>
      <c r="DV126" s="25"/>
      <c r="DW126" s="25"/>
      <c r="DX126" s="25"/>
      <c r="DY126" s="25"/>
      <c r="DZ126" s="25"/>
      <c r="EA126" s="25"/>
      <c r="EB126" s="25"/>
      <c r="EC126" s="25"/>
      <c r="ED126" s="25"/>
      <c r="EE126" s="25"/>
      <c r="EF126" s="25"/>
      <c r="EG126" s="25"/>
      <c r="EH126" s="25"/>
      <c r="EI126" s="25"/>
      <c r="EJ126" s="25"/>
      <c r="EK126" s="25"/>
      <c r="EL126" s="25"/>
      <c r="EM126" s="25"/>
      <c r="EN126" s="25"/>
      <c r="EO126" s="25"/>
      <c r="EP126" s="25"/>
      <c r="EQ126" s="25"/>
      <c r="ER126" s="25"/>
      <c r="ES126" s="25"/>
      <c r="ET126" s="25"/>
    </row>
    <row r="127" spans="9:150" x14ac:dyDescent="0.25"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  <c r="BH127" s="25"/>
      <c r="BI127" s="25"/>
      <c r="BJ127" s="25"/>
      <c r="BK127" s="25"/>
      <c r="BL127" s="25"/>
      <c r="BM127" s="25"/>
      <c r="BN127" s="25"/>
      <c r="BO127" s="25"/>
      <c r="BP127" s="25"/>
      <c r="BQ127" s="25"/>
      <c r="BR127" s="25"/>
      <c r="BS127" s="25"/>
      <c r="BT127" s="25"/>
      <c r="BU127" s="25"/>
      <c r="BV127" s="25"/>
      <c r="BW127" s="25"/>
      <c r="BX127" s="25"/>
      <c r="BY127" s="25"/>
      <c r="BZ127" s="25"/>
      <c r="CA127" s="25"/>
      <c r="CB127" s="25"/>
      <c r="CC127" s="25"/>
      <c r="CD127" s="25"/>
      <c r="CE127" s="25"/>
      <c r="CF127" s="25"/>
      <c r="CG127" s="25"/>
      <c r="CH127" s="25"/>
      <c r="CI127" s="25"/>
      <c r="CJ127" s="25"/>
      <c r="CK127" s="25"/>
      <c r="CL127" s="25"/>
      <c r="CM127" s="25"/>
      <c r="CN127" s="25"/>
      <c r="CO127" s="25"/>
      <c r="CP127" s="25"/>
      <c r="CQ127" s="25"/>
      <c r="CR127" s="25"/>
      <c r="CS127" s="25"/>
      <c r="CT127" s="25"/>
      <c r="CU127" s="25"/>
      <c r="CV127" s="25"/>
      <c r="CW127" s="25"/>
      <c r="CX127" s="25"/>
      <c r="CY127" s="25"/>
      <c r="CZ127" s="25"/>
      <c r="DA127" s="25"/>
      <c r="DB127" s="25"/>
      <c r="DC127" s="25"/>
      <c r="DD127" s="25"/>
      <c r="DE127" s="25"/>
      <c r="DF127" s="25"/>
      <c r="DG127" s="25"/>
      <c r="DH127" s="25"/>
      <c r="DI127" s="25"/>
      <c r="DJ127" s="25"/>
      <c r="DK127" s="25"/>
      <c r="DL127" s="25"/>
      <c r="DM127" s="25"/>
      <c r="DN127" s="25"/>
      <c r="DO127" s="25"/>
      <c r="DP127" s="25"/>
      <c r="DQ127" s="25"/>
      <c r="DR127" s="25"/>
      <c r="DS127" s="25"/>
      <c r="DT127" s="25"/>
      <c r="DU127" s="25"/>
      <c r="DV127" s="25"/>
      <c r="DW127" s="25"/>
      <c r="DX127" s="25"/>
      <c r="DY127" s="25"/>
      <c r="DZ127" s="25"/>
      <c r="EA127" s="25"/>
      <c r="EB127" s="25"/>
      <c r="EC127" s="25"/>
      <c r="ED127" s="25"/>
      <c r="EE127" s="25"/>
      <c r="EF127" s="25"/>
      <c r="EG127" s="25"/>
      <c r="EH127" s="25"/>
      <c r="EI127" s="25"/>
      <c r="EJ127" s="25"/>
      <c r="EK127" s="25"/>
      <c r="EL127" s="25"/>
      <c r="EM127" s="25"/>
      <c r="EN127" s="25"/>
      <c r="EO127" s="25"/>
      <c r="EP127" s="25"/>
      <c r="EQ127" s="25"/>
      <c r="ER127" s="25"/>
      <c r="ES127" s="25"/>
      <c r="ET127" s="25"/>
    </row>
    <row r="128" spans="9:150" x14ac:dyDescent="0.25"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  <c r="AM128" s="25"/>
      <c r="AN128" s="25"/>
      <c r="AO128" s="25"/>
      <c r="AP128" s="25"/>
      <c r="AQ128" s="25"/>
      <c r="AR128" s="25"/>
      <c r="AS128" s="25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  <c r="BF128" s="25"/>
      <c r="BG128" s="25"/>
      <c r="BH128" s="25"/>
      <c r="BI128" s="25"/>
      <c r="BJ128" s="25"/>
      <c r="BK128" s="25"/>
      <c r="BL128" s="25"/>
      <c r="BM128" s="25"/>
      <c r="BN128" s="25"/>
      <c r="BO128" s="25"/>
      <c r="BP128" s="25"/>
      <c r="BQ128" s="25"/>
      <c r="BR128" s="25"/>
      <c r="BS128" s="25"/>
      <c r="BT128" s="25"/>
      <c r="BU128" s="25"/>
      <c r="BV128" s="25"/>
      <c r="BW128" s="25"/>
      <c r="BX128" s="25"/>
      <c r="BY128" s="25"/>
      <c r="BZ128" s="25"/>
      <c r="CA128" s="25"/>
      <c r="CB128" s="25"/>
      <c r="CC128" s="25"/>
      <c r="CD128" s="25"/>
      <c r="CE128" s="25"/>
      <c r="CF128" s="25"/>
      <c r="CG128" s="25"/>
      <c r="CH128" s="25"/>
      <c r="CI128" s="25"/>
      <c r="CJ128" s="25"/>
      <c r="CK128" s="25"/>
      <c r="CL128" s="25"/>
      <c r="CM128" s="25"/>
      <c r="CN128" s="25"/>
      <c r="CO128" s="25"/>
      <c r="CP128" s="25"/>
      <c r="CQ128" s="25"/>
      <c r="CR128" s="25"/>
      <c r="CS128" s="25"/>
      <c r="CT128" s="25"/>
      <c r="CU128" s="25"/>
      <c r="CV128" s="25"/>
      <c r="CW128" s="25"/>
      <c r="CX128" s="25"/>
      <c r="CY128" s="25"/>
      <c r="CZ128" s="25"/>
      <c r="DA128" s="25"/>
      <c r="DB128" s="25"/>
      <c r="DC128" s="25"/>
      <c r="DD128" s="25"/>
      <c r="DE128" s="25"/>
      <c r="DF128" s="25"/>
      <c r="DG128" s="25"/>
      <c r="DH128" s="25"/>
      <c r="DI128" s="25"/>
      <c r="DJ128" s="25"/>
      <c r="DK128" s="25"/>
      <c r="DL128" s="25"/>
      <c r="DM128" s="25"/>
      <c r="DN128" s="25"/>
      <c r="DO128" s="25"/>
      <c r="DP128" s="25"/>
      <c r="DQ128" s="25"/>
      <c r="DR128" s="25"/>
      <c r="DS128" s="25"/>
      <c r="DT128" s="25"/>
      <c r="DU128" s="25"/>
      <c r="DV128" s="25"/>
      <c r="DW128" s="25"/>
      <c r="DX128" s="25"/>
      <c r="DY128" s="25"/>
      <c r="DZ128" s="25"/>
      <c r="EA128" s="25"/>
      <c r="EB128" s="25"/>
      <c r="EC128" s="25"/>
      <c r="ED128" s="25"/>
      <c r="EE128" s="25"/>
      <c r="EF128" s="25"/>
      <c r="EG128" s="25"/>
      <c r="EH128" s="25"/>
      <c r="EI128" s="25"/>
      <c r="EJ128" s="25"/>
      <c r="EK128" s="25"/>
      <c r="EL128" s="25"/>
      <c r="EM128" s="25"/>
      <c r="EN128" s="25"/>
      <c r="EO128" s="25"/>
      <c r="EP128" s="25"/>
      <c r="EQ128" s="25"/>
      <c r="ER128" s="25"/>
      <c r="ES128" s="25"/>
      <c r="ET128" s="25"/>
    </row>
    <row r="129" spans="9:150" x14ac:dyDescent="0.25"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  <c r="AQ129" s="25"/>
      <c r="AR129" s="25"/>
      <c r="AS129" s="25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  <c r="BF129" s="25"/>
      <c r="BG129" s="25"/>
      <c r="BH129" s="25"/>
      <c r="BI129" s="25"/>
      <c r="BJ129" s="25"/>
      <c r="BK129" s="25"/>
      <c r="BL129" s="25"/>
      <c r="BM129" s="25"/>
      <c r="BN129" s="25"/>
      <c r="BO129" s="25"/>
      <c r="BP129" s="25"/>
      <c r="BQ129" s="25"/>
      <c r="BR129" s="25"/>
      <c r="BS129" s="25"/>
      <c r="BT129" s="25"/>
      <c r="BU129" s="25"/>
      <c r="BV129" s="25"/>
      <c r="BW129" s="25"/>
      <c r="BX129" s="25"/>
      <c r="BY129" s="25"/>
      <c r="BZ129" s="25"/>
      <c r="CA129" s="25"/>
      <c r="CB129" s="25"/>
      <c r="CC129" s="25"/>
      <c r="CD129" s="25"/>
      <c r="CE129" s="25"/>
      <c r="CF129" s="25"/>
      <c r="CG129" s="25"/>
      <c r="CH129" s="25"/>
      <c r="CI129" s="25"/>
      <c r="CJ129" s="25"/>
      <c r="CK129" s="25"/>
      <c r="CL129" s="25"/>
      <c r="CM129" s="25"/>
      <c r="CN129" s="25"/>
      <c r="CO129" s="25"/>
      <c r="CP129" s="25"/>
      <c r="CQ129" s="25"/>
      <c r="CR129" s="25"/>
      <c r="CS129" s="25"/>
      <c r="CT129" s="25"/>
      <c r="CU129" s="25"/>
      <c r="CV129" s="25"/>
      <c r="CW129" s="25"/>
      <c r="CX129" s="25"/>
      <c r="CY129" s="25"/>
      <c r="CZ129" s="25"/>
      <c r="DA129" s="25"/>
      <c r="DB129" s="25"/>
      <c r="DC129" s="25"/>
      <c r="DD129" s="25"/>
      <c r="DE129" s="25"/>
      <c r="DF129" s="25"/>
      <c r="DG129" s="25"/>
      <c r="DH129" s="25"/>
      <c r="DI129" s="25"/>
      <c r="DJ129" s="25"/>
      <c r="DK129" s="25"/>
      <c r="DL129" s="25"/>
      <c r="DM129" s="25"/>
      <c r="DN129" s="25"/>
      <c r="DO129" s="25"/>
      <c r="DP129" s="25"/>
      <c r="DQ129" s="25"/>
      <c r="DR129" s="25"/>
      <c r="DS129" s="25"/>
      <c r="DT129" s="25"/>
      <c r="DU129" s="25"/>
      <c r="DV129" s="25"/>
      <c r="DW129" s="25"/>
      <c r="DX129" s="25"/>
      <c r="DY129" s="25"/>
      <c r="DZ129" s="25"/>
      <c r="EA129" s="25"/>
      <c r="EB129" s="25"/>
      <c r="EC129" s="25"/>
      <c r="ED129" s="25"/>
      <c r="EE129" s="25"/>
      <c r="EF129" s="25"/>
      <c r="EG129" s="25"/>
      <c r="EH129" s="25"/>
      <c r="EI129" s="25"/>
      <c r="EJ129" s="25"/>
      <c r="EK129" s="25"/>
      <c r="EL129" s="25"/>
      <c r="EM129" s="25"/>
      <c r="EN129" s="25"/>
      <c r="EO129" s="25"/>
      <c r="EP129" s="25"/>
      <c r="EQ129" s="25"/>
      <c r="ER129" s="25"/>
      <c r="ES129" s="25"/>
      <c r="ET129" s="25"/>
    </row>
    <row r="130" spans="9:150" x14ac:dyDescent="0.25"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  <c r="BF130" s="25"/>
      <c r="BG130" s="25"/>
      <c r="BH130" s="25"/>
      <c r="BI130" s="25"/>
      <c r="BJ130" s="25"/>
      <c r="BK130" s="25"/>
      <c r="BL130" s="25"/>
      <c r="BM130" s="25"/>
      <c r="BN130" s="25"/>
      <c r="BO130" s="25"/>
      <c r="BP130" s="25"/>
      <c r="BQ130" s="25"/>
      <c r="BR130" s="25"/>
      <c r="BS130" s="25"/>
      <c r="BT130" s="25"/>
      <c r="BU130" s="25"/>
      <c r="BV130" s="25"/>
      <c r="BW130" s="25"/>
      <c r="BX130" s="25"/>
      <c r="BY130" s="25"/>
      <c r="BZ130" s="25"/>
      <c r="CA130" s="25"/>
      <c r="CB130" s="25"/>
      <c r="CC130" s="25"/>
      <c r="CD130" s="25"/>
      <c r="CE130" s="25"/>
      <c r="CF130" s="25"/>
      <c r="CG130" s="25"/>
      <c r="CH130" s="25"/>
      <c r="CI130" s="25"/>
      <c r="CJ130" s="25"/>
      <c r="CK130" s="25"/>
      <c r="CL130" s="25"/>
      <c r="CM130" s="25"/>
      <c r="CN130" s="25"/>
      <c r="CO130" s="25"/>
      <c r="CP130" s="25"/>
      <c r="CQ130" s="25"/>
      <c r="CR130" s="25"/>
      <c r="CS130" s="25"/>
      <c r="CT130" s="25"/>
      <c r="CU130" s="25"/>
      <c r="CV130" s="25"/>
      <c r="CW130" s="25"/>
      <c r="CX130" s="25"/>
      <c r="CY130" s="25"/>
      <c r="CZ130" s="25"/>
      <c r="DA130" s="25"/>
      <c r="DB130" s="25"/>
      <c r="DC130" s="25"/>
      <c r="DD130" s="25"/>
      <c r="DE130" s="25"/>
      <c r="DF130" s="25"/>
      <c r="DG130" s="25"/>
      <c r="DH130" s="25"/>
      <c r="DI130" s="25"/>
      <c r="DJ130" s="25"/>
      <c r="DK130" s="25"/>
      <c r="DL130" s="25"/>
      <c r="DM130" s="25"/>
      <c r="DN130" s="25"/>
      <c r="DO130" s="25"/>
      <c r="DP130" s="25"/>
      <c r="DQ130" s="25"/>
      <c r="DR130" s="25"/>
      <c r="DS130" s="25"/>
      <c r="DT130" s="25"/>
      <c r="DU130" s="25"/>
      <c r="DV130" s="25"/>
      <c r="DW130" s="25"/>
      <c r="DX130" s="25"/>
      <c r="DY130" s="25"/>
      <c r="DZ130" s="25"/>
      <c r="EA130" s="25"/>
      <c r="EB130" s="25"/>
      <c r="EC130" s="25"/>
      <c r="ED130" s="25"/>
      <c r="EE130" s="25"/>
      <c r="EF130" s="25"/>
      <c r="EG130" s="25"/>
      <c r="EH130" s="25"/>
      <c r="EI130" s="25"/>
      <c r="EJ130" s="25"/>
      <c r="EK130" s="25"/>
      <c r="EL130" s="25"/>
      <c r="EM130" s="25"/>
      <c r="EN130" s="25"/>
      <c r="EO130" s="25"/>
      <c r="EP130" s="25"/>
      <c r="EQ130" s="25"/>
      <c r="ER130" s="25"/>
      <c r="ES130" s="25"/>
      <c r="ET130" s="25"/>
    </row>
    <row r="131" spans="9:150" x14ac:dyDescent="0.25"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5"/>
      <c r="AS131" s="25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  <c r="BF131" s="25"/>
      <c r="BG131" s="25"/>
      <c r="BH131" s="25"/>
      <c r="BI131" s="25"/>
      <c r="BJ131" s="25"/>
      <c r="BK131" s="25"/>
      <c r="BL131" s="25"/>
      <c r="BM131" s="25"/>
      <c r="BN131" s="25"/>
      <c r="BO131" s="25"/>
      <c r="BP131" s="25"/>
      <c r="BQ131" s="25"/>
      <c r="BR131" s="25"/>
      <c r="BS131" s="25"/>
      <c r="BT131" s="25"/>
      <c r="BU131" s="25"/>
      <c r="BV131" s="25"/>
      <c r="BW131" s="25"/>
      <c r="BX131" s="25"/>
      <c r="BY131" s="25"/>
      <c r="BZ131" s="25"/>
      <c r="CA131" s="25"/>
      <c r="CB131" s="25"/>
      <c r="CC131" s="25"/>
      <c r="CD131" s="25"/>
      <c r="CE131" s="25"/>
      <c r="CF131" s="25"/>
      <c r="CG131" s="25"/>
      <c r="CH131" s="25"/>
      <c r="CI131" s="25"/>
      <c r="CJ131" s="25"/>
      <c r="CK131" s="25"/>
      <c r="CL131" s="25"/>
      <c r="CM131" s="25"/>
      <c r="CN131" s="25"/>
      <c r="CO131" s="25"/>
      <c r="CP131" s="25"/>
      <c r="CQ131" s="25"/>
      <c r="CR131" s="25"/>
      <c r="CS131" s="25"/>
      <c r="CT131" s="25"/>
      <c r="CU131" s="25"/>
      <c r="CV131" s="25"/>
      <c r="CW131" s="25"/>
      <c r="CX131" s="25"/>
      <c r="CY131" s="25"/>
      <c r="CZ131" s="25"/>
      <c r="DA131" s="25"/>
      <c r="DB131" s="25"/>
      <c r="DC131" s="25"/>
      <c r="DD131" s="25"/>
      <c r="DE131" s="25"/>
      <c r="DF131" s="25"/>
      <c r="DG131" s="25"/>
      <c r="DH131" s="25"/>
      <c r="DI131" s="25"/>
      <c r="DJ131" s="25"/>
      <c r="DK131" s="25"/>
      <c r="DL131" s="25"/>
      <c r="DM131" s="25"/>
      <c r="DN131" s="25"/>
      <c r="DO131" s="25"/>
      <c r="DP131" s="25"/>
      <c r="DQ131" s="25"/>
      <c r="DR131" s="25"/>
      <c r="DS131" s="25"/>
      <c r="DT131" s="25"/>
      <c r="DU131" s="25"/>
      <c r="DV131" s="25"/>
      <c r="DW131" s="25"/>
      <c r="DX131" s="25"/>
      <c r="DY131" s="25"/>
      <c r="DZ131" s="25"/>
      <c r="EA131" s="25"/>
      <c r="EB131" s="25"/>
      <c r="EC131" s="25"/>
      <c r="ED131" s="25"/>
      <c r="EE131" s="25"/>
      <c r="EF131" s="25"/>
      <c r="EG131" s="25"/>
      <c r="EH131" s="25"/>
      <c r="EI131" s="25"/>
      <c r="EJ131" s="25"/>
      <c r="EK131" s="25"/>
      <c r="EL131" s="25"/>
      <c r="EM131" s="25"/>
      <c r="EN131" s="25"/>
      <c r="EO131" s="25"/>
      <c r="EP131" s="25"/>
      <c r="EQ131" s="25"/>
      <c r="ER131" s="25"/>
      <c r="ES131" s="25"/>
      <c r="ET131" s="25"/>
    </row>
    <row r="132" spans="9:150" x14ac:dyDescent="0.25"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  <c r="BF132" s="25"/>
      <c r="BG132" s="25"/>
      <c r="BH132" s="25"/>
      <c r="BI132" s="25"/>
      <c r="BJ132" s="25"/>
      <c r="BK132" s="25"/>
      <c r="BL132" s="25"/>
      <c r="BM132" s="25"/>
      <c r="BN132" s="25"/>
      <c r="BO132" s="25"/>
      <c r="BP132" s="25"/>
      <c r="BQ132" s="25"/>
      <c r="BR132" s="25"/>
      <c r="BS132" s="25"/>
      <c r="BT132" s="25"/>
      <c r="BU132" s="25"/>
      <c r="BV132" s="25"/>
      <c r="BW132" s="25"/>
      <c r="BX132" s="25"/>
      <c r="BY132" s="25"/>
      <c r="BZ132" s="25"/>
      <c r="CA132" s="25"/>
      <c r="CB132" s="25"/>
      <c r="CC132" s="25"/>
      <c r="CD132" s="25"/>
      <c r="CE132" s="25"/>
      <c r="CF132" s="25"/>
      <c r="CG132" s="25"/>
      <c r="CH132" s="25"/>
      <c r="CI132" s="25"/>
      <c r="CJ132" s="25"/>
      <c r="CK132" s="25"/>
      <c r="CL132" s="25"/>
      <c r="CM132" s="25"/>
      <c r="CN132" s="25"/>
      <c r="CO132" s="25"/>
      <c r="CP132" s="25"/>
      <c r="CQ132" s="25"/>
      <c r="CR132" s="25"/>
      <c r="CS132" s="25"/>
      <c r="CT132" s="25"/>
      <c r="CU132" s="25"/>
      <c r="CV132" s="25"/>
      <c r="CW132" s="25"/>
      <c r="CX132" s="25"/>
      <c r="CY132" s="25"/>
      <c r="CZ132" s="25"/>
      <c r="DA132" s="25"/>
      <c r="DB132" s="25"/>
      <c r="DC132" s="25"/>
      <c r="DD132" s="25"/>
      <c r="DE132" s="25"/>
      <c r="DF132" s="25"/>
      <c r="DG132" s="25"/>
      <c r="DH132" s="25"/>
      <c r="DI132" s="25"/>
      <c r="DJ132" s="25"/>
      <c r="DK132" s="25"/>
      <c r="DL132" s="25"/>
      <c r="DM132" s="25"/>
      <c r="DN132" s="25"/>
      <c r="DO132" s="25"/>
      <c r="DP132" s="25"/>
      <c r="DQ132" s="25"/>
      <c r="DR132" s="25"/>
      <c r="DS132" s="25"/>
      <c r="DT132" s="25"/>
      <c r="DU132" s="25"/>
      <c r="DV132" s="25"/>
      <c r="DW132" s="25"/>
      <c r="DX132" s="25"/>
      <c r="DY132" s="25"/>
      <c r="DZ132" s="25"/>
      <c r="EA132" s="25"/>
      <c r="EB132" s="25"/>
      <c r="EC132" s="25"/>
      <c r="ED132" s="25"/>
      <c r="EE132" s="25"/>
      <c r="EF132" s="25"/>
      <c r="EG132" s="25"/>
      <c r="EH132" s="25"/>
      <c r="EI132" s="25"/>
      <c r="EJ132" s="25"/>
      <c r="EK132" s="25"/>
      <c r="EL132" s="25"/>
      <c r="EM132" s="25"/>
      <c r="EN132" s="25"/>
      <c r="EO132" s="25"/>
      <c r="EP132" s="25"/>
      <c r="EQ132" s="25"/>
      <c r="ER132" s="25"/>
      <c r="ES132" s="25"/>
      <c r="ET132" s="25"/>
    </row>
    <row r="133" spans="9:150" x14ac:dyDescent="0.25"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  <c r="AQ133" s="25"/>
      <c r="AR133" s="25"/>
      <c r="AS133" s="25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  <c r="BF133" s="25"/>
      <c r="BG133" s="25"/>
      <c r="BH133" s="25"/>
      <c r="BI133" s="25"/>
      <c r="BJ133" s="25"/>
      <c r="BK133" s="25"/>
      <c r="BL133" s="25"/>
      <c r="BM133" s="25"/>
      <c r="BN133" s="25"/>
      <c r="BO133" s="25"/>
      <c r="BP133" s="25"/>
      <c r="BQ133" s="25"/>
      <c r="BR133" s="25"/>
      <c r="BS133" s="25"/>
      <c r="BT133" s="25"/>
      <c r="BU133" s="25"/>
      <c r="BV133" s="25"/>
      <c r="BW133" s="25"/>
      <c r="BX133" s="25"/>
      <c r="BY133" s="25"/>
      <c r="BZ133" s="25"/>
      <c r="CA133" s="25"/>
      <c r="CB133" s="25"/>
      <c r="CC133" s="25"/>
      <c r="CD133" s="25"/>
      <c r="CE133" s="25"/>
      <c r="CF133" s="25"/>
      <c r="CG133" s="25"/>
      <c r="CH133" s="25"/>
      <c r="CI133" s="25"/>
      <c r="CJ133" s="25"/>
      <c r="CK133" s="25"/>
      <c r="CL133" s="25"/>
      <c r="CM133" s="25"/>
      <c r="CN133" s="25"/>
      <c r="CO133" s="25"/>
      <c r="CP133" s="25"/>
      <c r="CQ133" s="25"/>
      <c r="CR133" s="25"/>
      <c r="CS133" s="25"/>
      <c r="CT133" s="25"/>
      <c r="CU133" s="25"/>
      <c r="CV133" s="25"/>
      <c r="CW133" s="25"/>
      <c r="CX133" s="25"/>
      <c r="CY133" s="25"/>
      <c r="CZ133" s="25"/>
      <c r="DA133" s="25"/>
      <c r="DB133" s="25"/>
      <c r="DC133" s="25"/>
      <c r="DD133" s="25"/>
      <c r="DE133" s="25"/>
      <c r="DF133" s="25"/>
      <c r="DG133" s="25"/>
      <c r="DH133" s="25"/>
      <c r="DI133" s="25"/>
      <c r="DJ133" s="25"/>
      <c r="DK133" s="25"/>
      <c r="DL133" s="25"/>
      <c r="DM133" s="25"/>
      <c r="DN133" s="25"/>
      <c r="DO133" s="25"/>
      <c r="DP133" s="25"/>
      <c r="DQ133" s="25"/>
      <c r="DR133" s="25"/>
      <c r="DS133" s="25"/>
      <c r="DT133" s="25"/>
      <c r="DU133" s="25"/>
      <c r="DV133" s="25"/>
      <c r="DW133" s="25"/>
      <c r="DX133" s="25"/>
      <c r="DY133" s="25"/>
      <c r="DZ133" s="25"/>
      <c r="EA133" s="25"/>
      <c r="EB133" s="25"/>
      <c r="EC133" s="25"/>
      <c r="ED133" s="25"/>
      <c r="EE133" s="25"/>
      <c r="EF133" s="25"/>
      <c r="EG133" s="25"/>
      <c r="EH133" s="25"/>
      <c r="EI133" s="25"/>
      <c r="EJ133" s="25"/>
      <c r="EK133" s="25"/>
      <c r="EL133" s="25"/>
      <c r="EM133" s="25"/>
      <c r="EN133" s="25"/>
      <c r="EO133" s="25"/>
      <c r="EP133" s="25"/>
      <c r="EQ133" s="25"/>
      <c r="ER133" s="25"/>
      <c r="ES133" s="25"/>
      <c r="ET133" s="25"/>
    </row>
    <row r="134" spans="9:150" x14ac:dyDescent="0.25"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  <c r="AQ134" s="25"/>
      <c r="AR134" s="25"/>
      <c r="AS134" s="25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  <c r="BF134" s="25"/>
      <c r="BG134" s="25"/>
      <c r="BH134" s="25"/>
      <c r="BI134" s="25"/>
      <c r="BJ134" s="25"/>
      <c r="BK134" s="25"/>
      <c r="BL134" s="25"/>
      <c r="BM134" s="25"/>
      <c r="BN134" s="25"/>
      <c r="BO134" s="25"/>
      <c r="BP134" s="25"/>
      <c r="BQ134" s="25"/>
      <c r="BR134" s="25"/>
      <c r="BS134" s="25"/>
      <c r="BT134" s="25"/>
      <c r="BU134" s="25"/>
      <c r="BV134" s="25"/>
      <c r="BW134" s="25"/>
      <c r="BX134" s="25"/>
      <c r="BY134" s="25"/>
      <c r="BZ134" s="25"/>
      <c r="CA134" s="25"/>
      <c r="CB134" s="25"/>
      <c r="CC134" s="25"/>
      <c r="CD134" s="25"/>
      <c r="CE134" s="25"/>
      <c r="CF134" s="25"/>
      <c r="CG134" s="25"/>
      <c r="CH134" s="25"/>
      <c r="CI134" s="25"/>
      <c r="CJ134" s="25"/>
      <c r="CK134" s="25"/>
      <c r="CL134" s="25"/>
      <c r="CM134" s="25"/>
      <c r="CN134" s="25"/>
      <c r="CO134" s="25"/>
      <c r="CP134" s="25"/>
      <c r="CQ134" s="25"/>
      <c r="CR134" s="25"/>
      <c r="CS134" s="25"/>
      <c r="CT134" s="25"/>
      <c r="CU134" s="25"/>
      <c r="CV134" s="25"/>
      <c r="CW134" s="25"/>
      <c r="CX134" s="25"/>
      <c r="CY134" s="25"/>
      <c r="CZ134" s="25"/>
      <c r="DA134" s="25"/>
      <c r="DB134" s="25"/>
      <c r="DC134" s="25"/>
      <c r="DD134" s="25"/>
      <c r="DE134" s="25"/>
      <c r="DF134" s="25"/>
      <c r="DG134" s="25"/>
      <c r="DH134" s="25"/>
      <c r="DI134" s="25"/>
      <c r="DJ134" s="25"/>
      <c r="DK134" s="25"/>
      <c r="DL134" s="25"/>
      <c r="DM134" s="25"/>
      <c r="DN134" s="25"/>
      <c r="DO134" s="25"/>
      <c r="DP134" s="25"/>
      <c r="DQ134" s="25"/>
      <c r="DR134" s="25"/>
      <c r="DS134" s="25"/>
      <c r="DT134" s="25"/>
      <c r="DU134" s="25"/>
      <c r="DV134" s="25"/>
      <c r="DW134" s="25"/>
      <c r="DX134" s="25"/>
      <c r="DY134" s="25"/>
      <c r="DZ134" s="25"/>
      <c r="EA134" s="25"/>
      <c r="EB134" s="25"/>
      <c r="EC134" s="25"/>
      <c r="ED134" s="25"/>
      <c r="EE134" s="25"/>
      <c r="EF134" s="25"/>
      <c r="EG134" s="25"/>
      <c r="EH134" s="25"/>
      <c r="EI134" s="25"/>
      <c r="EJ134" s="25"/>
      <c r="EK134" s="25"/>
      <c r="EL134" s="25"/>
      <c r="EM134" s="25"/>
      <c r="EN134" s="25"/>
      <c r="EO134" s="25"/>
      <c r="EP134" s="25"/>
      <c r="EQ134" s="25"/>
      <c r="ER134" s="25"/>
      <c r="ES134" s="25"/>
      <c r="ET134" s="25"/>
    </row>
    <row r="135" spans="9:150" x14ac:dyDescent="0.25"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  <c r="AQ135" s="25"/>
      <c r="AR135" s="25"/>
      <c r="AS135" s="25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  <c r="BF135" s="25"/>
      <c r="BG135" s="25"/>
      <c r="BH135" s="25"/>
      <c r="BI135" s="25"/>
      <c r="BJ135" s="25"/>
      <c r="BK135" s="25"/>
      <c r="BL135" s="25"/>
      <c r="BM135" s="25"/>
      <c r="BN135" s="25"/>
      <c r="BO135" s="25"/>
      <c r="BP135" s="25"/>
      <c r="BQ135" s="25"/>
      <c r="BR135" s="25"/>
      <c r="BS135" s="25"/>
      <c r="BT135" s="25"/>
      <c r="BU135" s="25"/>
      <c r="BV135" s="25"/>
      <c r="BW135" s="25"/>
      <c r="BX135" s="25"/>
      <c r="BY135" s="25"/>
      <c r="BZ135" s="25"/>
      <c r="CA135" s="25"/>
      <c r="CB135" s="25"/>
      <c r="CC135" s="25"/>
      <c r="CD135" s="25"/>
      <c r="CE135" s="25"/>
      <c r="CF135" s="25"/>
      <c r="CG135" s="25"/>
      <c r="CH135" s="25"/>
      <c r="CI135" s="25"/>
      <c r="CJ135" s="25"/>
      <c r="CK135" s="25"/>
      <c r="CL135" s="25"/>
      <c r="CM135" s="25"/>
      <c r="CN135" s="25"/>
      <c r="CO135" s="25"/>
      <c r="CP135" s="25"/>
      <c r="CQ135" s="25"/>
      <c r="CR135" s="25"/>
      <c r="CS135" s="25"/>
      <c r="CT135" s="25"/>
      <c r="CU135" s="25"/>
      <c r="CV135" s="25"/>
      <c r="CW135" s="25"/>
      <c r="CX135" s="25"/>
      <c r="CY135" s="25"/>
      <c r="CZ135" s="25"/>
      <c r="DA135" s="25"/>
      <c r="DB135" s="25"/>
      <c r="DC135" s="25"/>
      <c r="DD135" s="25"/>
      <c r="DE135" s="25"/>
      <c r="DF135" s="25"/>
      <c r="DG135" s="25"/>
      <c r="DH135" s="25"/>
      <c r="DI135" s="25"/>
      <c r="DJ135" s="25"/>
      <c r="DK135" s="25"/>
      <c r="DL135" s="25"/>
      <c r="DM135" s="25"/>
      <c r="DN135" s="25"/>
      <c r="DO135" s="25"/>
      <c r="DP135" s="25"/>
      <c r="DQ135" s="25"/>
      <c r="DR135" s="25"/>
      <c r="DS135" s="25"/>
      <c r="DT135" s="25"/>
      <c r="DU135" s="25"/>
      <c r="DV135" s="25"/>
      <c r="DW135" s="25"/>
      <c r="DX135" s="25"/>
      <c r="DY135" s="25"/>
      <c r="DZ135" s="25"/>
      <c r="EA135" s="25"/>
      <c r="EB135" s="25"/>
      <c r="EC135" s="25"/>
      <c r="ED135" s="25"/>
      <c r="EE135" s="25"/>
      <c r="EF135" s="25"/>
      <c r="EG135" s="25"/>
      <c r="EH135" s="25"/>
      <c r="EI135" s="25"/>
      <c r="EJ135" s="25"/>
      <c r="EK135" s="25"/>
      <c r="EL135" s="25"/>
      <c r="EM135" s="25"/>
      <c r="EN135" s="25"/>
      <c r="EO135" s="25"/>
      <c r="EP135" s="25"/>
      <c r="EQ135" s="25"/>
      <c r="ER135" s="25"/>
      <c r="ES135" s="25"/>
      <c r="ET135" s="25"/>
    </row>
    <row r="136" spans="9:150" x14ac:dyDescent="0.25"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  <c r="AQ136" s="25"/>
      <c r="AR136" s="25"/>
      <c r="AS136" s="25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  <c r="BF136" s="25"/>
      <c r="BG136" s="25"/>
      <c r="BH136" s="25"/>
      <c r="BI136" s="25"/>
      <c r="BJ136" s="25"/>
      <c r="BK136" s="25"/>
      <c r="BL136" s="25"/>
      <c r="BM136" s="25"/>
      <c r="BN136" s="25"/>
      <c r="BO136" s="25"/>
      <c r="BP136" s="25"/>
      <c r="BQ136" s="25"/>
      <c r="BR136" s="25"/>
      <c r="BS136" s="25"/>
      <c r="BT136" s="25"/>
      <c r="BU136" s="25"/>
      <c r="BV136" s="25"/>
      <c r="BW136" s="25"/>
      <c r="BX136" s="25"/>
      <c r="BY136" s="25"/>
      <c r="BZ136" s="25"/>
      <c r="CA136" s="25"/>
      <c r="CB136" s="25"/>
      <c r="CC136" s="25"/>
      <c r="CD136" s="25"/>
      <c r="CE136" s="25"/>
      <c r="CF136" s="25"/>
      <c r="CG136" s="25"/>
      <c r="CH136" s="25"/>
      <c r="CI136" s="25"/>
      <c r="CJ136" s="25"/>
      <c r="CK136" s="25"/>
      <c r="CL136" s="25"/>
      <c r="CM136" s="25"/>
      <c r="CN136" s="25"/>
      <c r="CO136" s="25"/>
      <c r="CP136" s="25"/>
      <c r="CQ136" s="25"/>
      <c r="CR136" s="25"/>
      <c r="CS136" s="25"/>
      <c r="CT136" s="25"/>
      <c r="CU136" s="25"/>
      <c r="CV136" s="25"/>
      <c r="CW136" s="25"/>
      <c r="CX136" s="25"/>
      <c r="CY136" s="25"/>
      <c r="CZ136" s="25"/>
      <c r="DA136" s="25"/>
      <c r="DB136" s="25"/>
      <c r="DC136" s="25"/>
      <c r="DD136" s="25"/>
      <c r="DE136" s="25"/>
      <c r="DF136" s="25"/>
      <c r="DG136" s="25"/>
      <c r="DH136" s="25"/>
      <c r="DI136" s="25"/>
      <c r="DJ136" s="25"/>
      <c r="DK136" s="25"/>
      <c r="DL136" s="25"/>
      <c r="DM136" s="25"/>
      <c r="DN136" s="25"/>
      <c r="DO136" s="25"/>
      <c r="DP136" s="25"/>
      <c r="DQ136" s="25"/>
      <c r="DR136" s="25"/>
      <c r="DS136" s="25"/>
      <c r="DT136" s="25"/>
      <c r="DU136" s="25"/>
      <c r="DV136" s="25"/>
      <c r="DW136" s="25"/>
      <c r="DX136" s="25"/>
      <c r="DY136" s="25"/>
      <c r="DZ136" s="25"/>
      <c r="EA136" s="25"/>
      <c r="EB136" s="25"/>
      <c r="EC136" s="25"/>
      <c r="ED136" s="25"/>
      <c r="EE136" s="25"/>
      <c r="EF136" s="25"/>
      <c r="EG136" s="25"/>
      <c r="EH136" s="25"/>
      <c r="EI136" s="25"/>
      <c r="EJ136" s="25"/>
      <c r="EK136" s="25"/>
      <c r="EL136" s="25"/>
      <c r="EM136" s="25"/>
      <c r="EN136" s="25"/>
      <c r="EO136" s="25"/>
      <c r="EP136" s="25"/>
      <c r="EQ136" s="25"/>
      <c r="ER136" s="25"/>
      <c r="ES136" s="25"/>
      <c r="ET136" s="25"/>
    </row>
    <row r="137" spans="9:150" x14ac:dyDescent="0.25"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  <c r="AQ137" s="25"/>
      <c r="AR137" s="25"/>
      <c r="AS137" s="25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  <c r="BF137" s="25"/>
      <c r="BG137" s="25"/>
      <c r="BH137" s="25"/>
      <c r="BI137" s="25"/>
      <c r="BJ137" s="25"/>
      <c r="BK137" s="25"/>
      <c r="BL137" s="25"/>
      <c r="BM137" s="25"/>
      <c r="BN137" s="25"/>
      <c r="BO137" s="25"/>
      <c r="BP137" s="25"/>
      <c r="BQ137" s="25"/>
      <c r="BR137" s="25"/>
      <c r="BS137" s="25"/>
      <c r="BT137" s="25"/>
      <c r="BU137" s="25"/>
      <c r="BV137" s="25"/>
      <c r="BW137" s="25"/>
      <c r="BX137" s="25"/>
      <c r="BY137" s="25"/>
      <c r="BZ137" s="25"/>
      <c r="CA137" s="25"/>
      <c r="CB137" s="25"/>
      <c r="CC137" s="25"/>
      <c r="CD137" s="25"/>
      <c r="CE137" s="25"/>
      <c r="CF137" s="25"/>
      <c r="CG137" s="25"/>
      <c r="CH137" s="25"/>
      <c r="CI137" s="25"/>
      <c r="CJ137" s="25"/>
      <c r="CK137" s="25"/>
      <c r="CL137" s="25"/>
      <c r="CM137" s="25"/>
      <c r="CN137" s="25"/>
      <c r="CO137" s="25"/>
      <c r="CP137" s="25"/>
      <c r="CQ137" s="25"/>
      <c r="CR137" s="25"/>
      <c r="CS137" s="25"/>
      <c r="CT137" s="25"/>
      <c r="CU137" s="25"/>
      <c r="CV137" s="25"/>
      <c r="CW137" s="25"/>
      <c r="CX137" s="25"/>
      <c r="CY137" s="25"/>
      <c r="CZ137" s="25"/>
      <c r="DA137" s="25"/>
      <c r="DB137" s="25"/>
      <c r="DC137" s="25"/>
      <c r="DD137" s="25"/>
      <c r="DE137" s="25"/>
      <c r="DF137" s="25"/>
      <c r="DG137" s="25"/>
      <c r="DH137" s="25"/>
      <c r="DI137" s="25"/>
      <c r="DJ137" s="25"/>
      <c r="DK137" s="25"/>
      <c r="DL137" s="25"/>
      <c r="DM137" s="25"/>
      <c r="DN137" s="25"/>
      <c r="DO137" s="25"/>
      <c r="DP137" s="25"/>
      <c r="DQ137" s="25"/>
      <c r="DR137" s="25"/>
      <c r="DS137" s="25"/>
      <c r="DT137" s="25"/>
      <c r="DU137" s="25"/>
      <c r="DV137" s="25"/>
      <c r="DW137" s="25"/>
      <c r="DX137" s="25"/>
      <c r="DY137" s="25"/>
      <c r="DZ137" s="25"/>
      <c r="EA137" s="25"/>
      <c r="EB137" s="25"/>
      <c r="EC137" s="25"/>
      <c r="ED137" s="25"/>
      <c r="EE137" s="25"/>
      <c r="EF137" s="25"/>
      <c r="EG137" s="25"/>
      <c r="EH137" s="25"/>
      <c r="EI137" s="25"/>
      <c r="EJ137" s="25"/>
      <c r="EK137" s="25"/>
      <c r="EL137" s="25"/>
      <c r="EM137" s="25"/>
      <c r="EN137" s="25"/>
      <c r="EO137" s="25"/>
      <c r="EP137" s="25"/>
      <c r="EQ137" s="25"/>
      <c r="ER137" s="25"/>
      <c r="ES137" s="25"/>
      <c r="ET137" s="25"/>
    </row>
    <row r="138" spans="9:150" x14ac:dyDescent="0.25"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5"/>
      <c r="AR138" s="25"/>
      <c r="AS138" s="25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  <c r="BF138" s="25"/>
      <c r="BG138" s="25"/>
      <c r="BH138" s="25"/>
      <c r="BI138" s="25"/>
      <c r="BJ138" s="25"/>
      <c r="BK138" s="25"/>
      <c r="BL138" s="25"/>
      <c r="BM138" s="25"/>
      <c r="BN138" s="25"/>
      <c r="BO138" s="25"/>
      <c r="BP138" s="25"/>
      <c r="BQ138" s="25"/>
      <c r="BR138" s="25"/>
      <c r="BS138" s="25"/>
      <c r="BT138" s="25"/>
      <c r="BU138" s="25"/>
      <c r="BV138" s="25"/>
      <c r="BW138" s="25"/>
      <c r="BX138" s="25"/>
      <c r="BY138" s="25"/>
      <c r="BZ138" s="25"/>
      <c r="CA138" s="25"/>
      <c r="CB138" s="25"/>
      <c r="CC138" s="25"/>
      <c r="CD138" s="25"/>
      <c r="CE138" s="25"/>
      <c r="CF138" s="25"/>
      <c r="CG138" s="25"/>
      <c r="CH138" s="25"/>
      <c r="CI138" s="25"/>
      <c r="CJ138" s="25"/>
      <c r="CK138" s="25"/>
      <c r="CL138" s="25"/>
      <c r="CM138" s="25"/>
      <c r="CN138" s="25"/>
      <c r="CO138" s="25"/>
      <c r="CP138" s="25"/>
      <c r="CQ138" s="25"/>
      <c r="CR138" s="25"/>
      <c r="CS138" s="25"/>
      <c r="CT138" s="25"/>
      <c r="CU138" s="25"/>
      <c r="CV138" s="25"/>
      <c r="CW138" s="25"/>
      <c r="CX138" s="25"/>
      <c r="CY138" s="25"/>
      <c r="CZ138" s="25"/>
      <c r="DA138" s="25"/>
      <c r="DB138" s="25"/>
      <c r="DC138" s="25"/>
      <c r="DD138" s="25"/>
      <c r="DE138" s="25"/>
      <c r="DF138" s="25"/>
      <c r="DG138" s="25"/>
      <c r="DH138" s="25"/>
      <c r="DI138" s="25"/>
      <c r="DJ138" s="25"/>
      <c r="DK138" s="25"/>
      <c r="DL138" s="25"/>
      <c r="DM138" s="25"/>
      <c r="DN138" s="25"/>
      <c r="DO138" s="25"/>
      <c r="DP138" s="25"/>
      <c r="DQ138" s="25"/>
      <c r="DR138" s="25"/>
      <c r="DS138" s="25"/>
      <c r="DT138" s="25"/>
      <c r="DU138" s="25"/>
      <c r="DV138" s="25"/>
      <c r="DW138" s="25"/>
      <c r="DX138" s="25"/>
      <c r="DY138" s="25"/>
      <c r="DZ138" s="25"/>
      <c r="EA138" s="25"/>
      <c r="EB138" s="25"/>
      <c r="EC138" s="25"/>
      <c r="ED138" s="25"/>
      <c r="EE138" s="25"/>
      <c r="EF138" s="25"/>
      <c r="EG138" s="25"/>
      <c r="EH138" s="25"/>
      <c r="EI138" s="25"/>
      <c r="EJ138" s="25"/>
      <c r="EK138" s="25"/>
      <c r="EL138" s="25"/>
      <c r="EM138" s="25"/>
      <c r="EN138" s="25"/>
      <c r="EO138" s="25"/>
      <c r="EP138" s="25"/>
      <c r="EQ138" s="25"/>
      <c r="ER138" s="25"/>
      <c r="ES138" s="25"/>
      <c r="ET138" s="25"/>
    </row>
    <row r="139" spans="9:150" x14ac:dyDescent="0.25"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25"/>
      <c r="AR139" s="25"/>
      <c r="AS139" s="25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  <c r="BF139" s="25"/>
      <c r="BG139" s="25"/>
      <c r="BH139" s="25"/>
      <c r="BI139" s="25"/>
      <c r="BJ139" s="25"/>
      <c r="BK139" s="25"/>
      <c r="BL139" s="25"/>
      <c r="BM139" s="25"/>
      <c r="BN139" s="25"/>
      <c r="BO139" s="25"/>
      <c r="BP139" s="25"/>
      <c r="BQ139" s="25"/>
      <c r="BR139" s="25"/>
      <c r="BS139" s="25"/>
      <c r="BT139" s="25"/>
      <c r="BU139" s="25"/>
      <c r="BV139" s="25"/>
      <c r="BW139" s="25"/>
      <c r="BX139" s="25"/>
      <c r="BY139" s="25"/>
      <c r="BZ139" s="25"/>
      <c r="CA139" s="25"/>
      <c r="CB139" s="25"/>
      <c r="CC139" s="25"/>
      <c r="CD139" s="25"/>
      <c r="CE139" s="25"/>
      <c r="CF139" s="25"/>
      <c r="CG139" s="25"/>
      <c r="CH139" s="25"/>
      <c r="CI139" s="25"/>
      <c r="CJ139" s="25"/>
      <c r="CK139" s="25"/>
      <c r="CL139" s="25"/>
      <c r="CM139" s="25"/>
      <c r="CN139" s="25"/>
      <c r="CO139" s="25"/>
      <c r="CP139" s="25"/>
      <c r="CQ139" s="25"/>
      <c r="CR139" s="25"/>
      <c r="CS139" s="25"/>
      <c r="CT139" s="25"/>
      <c r="CU139" s="25"/>
      <c r="CV139" s="25"/>
      <c r="CW139" s="25"/>
      <c r="CX139" s="25"/>
      <c r="CY139" s="25"/>
      <c r="CZ139" s="25"/>
      <c r="DA139" s="25"/>
      <c r="DB139" s="25"/>
      <c r="DC139" s="25"/>
      <c r="DD139" s="25"/>
      <c r="DE139" s="25"/>
      <c r="DF139" s="25"/>
      <c r="DG139" s="25"/>
      <c r="DH139" s="25"/>
      <c r="DI139" s="25"/>
      <c r="DJ139" s="25"/>
      <c r="DK139" s="25"/>
      <c r="DL139" s="25"/>
      <c r="DM139" s="25"/>
      <c r="DN139" s="25"/>
      <c r="DO139" s="25"/>
      <c r="DP139" s="25"/>
      <c r="DQ139" s="25"/>
      <c r="DR139" s="25"/>
      <c r="DS139" s="25"/>
      <c r="DT139" s="25"/>
      <c r="DU139" s="25"/>
      <c r="DV139" s="25"/>
      <c r="DW139" s="25"/>
      <c r="DX139" s="25"/>
      <c r="DY139" s="25"/>
      <c r="DZ139" s="25"/>
      <c r="EA139" s="25"/>
      <c r="EB139" s="25"/>
      <c r="EC139" s="25"/>
      <c r="ED139" s="25"/>
      <c r="EE139" s="25"/>
      <c r="EF139" s="25"/>
      <c r="EG139" s="25"/>
      <c r="EH139" s="25"/>
      <c r="EI139" s="25"/>
      <c r="EJ139" s="25"/>
      <c r="EK139" s="25"/>
      <c r="EL139" s="25"/>
      <c r="EM139" s="25"/>
      <c r="EN139" s="25"/>
      <c r="EO139" s="25"/>
      <c r="EP139" s="25"/>
      <c r="EQ139" s="25"/>
      <c r="ER139" s="25"/>
      <c r="ES139" s="25"/>
      <c r="ET139" s="25"/>
    </row>
    <row r="140" spans="9:150" x14ac:dyDescent="0.25"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25"/>
      <c r="AM140" s="25"/>
      <c r="AN140" s="25"/>
      <c r="AO140" s="25"/>
      <c r="AP140" s="25"/>
      <c r="AQ140" s="25"/>
      <c r="AR140" s="25"/>
      <c r="AS140" s="25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  <c r="BF140" s="25"/>
      <c r="BG140" s="25"/>
      <c r="BH140" s="25"/>
      <c r="BI140" s="25"/>
      <c r="BJ140" s="25"/>
      <c r="BK140" s="25"/>
      <c r="BL140" s="25"/>
      <c r="BM140" s="25"/>
      <c r="BN140" s="25"/>
      <c r="BO140" s="25"/>
      <c r="BP140" s="25"/>
      <c r="BQ140" s="25"/>
      <c r="BR140" s="25"/>
      <c r="BS140" s="25"/>
      <c r="BT140" s="25"/>
      <c r="BU140" s="25"/>
      <c r="BV140" s="25"/>
      <c r="BW140" s="25"/>
      <c r="BX140" s="25"/>
      <c r="BY140" s="25"/>
      <c r="BZ140" s="25"/>
      <c r="CA140" s="25"/>
      <c r="CB140" s="25"/>
      <c r="CC140" s="25"/>
      <c r="CD140" s="25"/>
      <c r="CE140" s="25"/>
      <c r="CF140" s="25"/>
      <c r="CG140" s="25"/>
      <c r="CH140" s="25"/>
      <c r="CI140" s="25"/>
      <c r="CJ140" s="25"/>
      <c r="CK140" s="25"/>
      <c r="CL140" s="25"/>
      <c r="CM140" s="25"/>
      <c r="CN140" s="25"/>
      <c r="CO140" s="25"/>
      <c r="CP140" s="25"/>
      <c r="CQ140" s="25"/>
      <c r="CR140" s="25"/>
      <c r="CS140" s="25"/>
      <c r="CT140" s="25"/>
      <c r="CU140" s="25"/>
      <c r="CV140" s="25"/>
      <c r="CW140" s="25"/>
      <c r="CX140" s="25"/>
      <c r="CY140" s="25"/>
      <c r="CZ140" s="25"/>
      <c r="DA140" s="25"/>
      <c r="DB140" s="25"/>
      <c r="DC140" s="25"/>
      <c r="DD140" s="25"/>
      <c r="DE140" s="25"/>
      <c r="DF140" s="25"/>
      <c r="DG140" s="25"/>
      <c r="DH140" s="25"/>
      <c r="DI140" s="25"/>
      <c r="DJ140" s="25"/>
      <c r="DK140" s="25"/>
      <c r="DL140" s="25"/>
      <c r="DM140" s="25"/>
      <c r="DN140" s="25"/>
      <c r="DO140" s="25"/>
      <c r="DP140" s="25"/>
      <c r="DQ140" s="25"/>
      <c r="DR140" s="25"/>
      <c r="DS140" s="25"/>
      <c r="DT140" s="25"/>
      <c r="DU140" s="25"/>
      <c r="DV140" s="25"/>
      <c r="DW140" s="25"/>
      <c r="DX140" s="25"/>
      <c r="DY140" s="25"/>
      <c r="DZ140" s="25"/>
      <c r="EA140" s="25"/>
      <c r="EB140" s="25"/>
      <c r="EC140" s="25"/>
      <c r="ED140" s="25"/>
      <c r="EE140" s="25"/>
      <c r="EF140" s="25"/>
      <c r="EG140" s="25"/>
      <c r="EH140" s="25"/>
      <c r="EI140" s="25"/>
      <c r="EJ140" s="25"/>
      <c r="EK140" s="25"/>
      <c r="EL140" s="25"/>
      <c r="EM140" s="25"/>
      <c r="EN140" s="25"/>
      <c r="EO140" s="25"/>
      <c r="EP140" s="25"/>
      <c r="EQ140" s="25"/>
      <c r="ER140" s="25"/>
      <c r="ES140" s="25"/>
      <c r="ET140" s="25"/>
    </row>
    <row r="141" spans="9:150" x14ac:dyDescent="0.25"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  <c r="AM141" s="25"/>
      <c r="AN141" s="25"/>
      <c r="AO141" s="25"/>
      <c r="AP141" s="25"/>
      <c r="AQ141" s="25"/>
      <c r="AR141" s="25"/>
      <c r="AS141" s="25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  <c r="BF141" s="25"/>
      <c r="BG141" s="25"/>
      <c r="BH141" s="25"/>
      <c r="BI141" s="25"/>
      <c r="BJ141" s="25"/>
      <c r="BK141" s="25"/>
      <c r="BL141" s="25"/>
      <c r="BM141" s="25"/>
      <c r="BN141" s="25"/>
      <c r="BO141" s="25"/>
      <c r="BP141" s="25"/>
      <c r="BQ141" s="25"/>
      <c r="BR141" s="25"/>
      <c r="BS141" s="25"/>
      <c r="BT141" s="25"/>
      <c r="BU141" s="25"/>
      <c r="BV141" s="25"/>
      <c r="BW141" s="25"/>
      <c r="BX141" s="25"/>
      <c r="BY141" s="25"/>
      <c r="BZ141" s="25"/>
      <c r="CA141" s="25"/>
      <c r="CB141" s="25"/>
      <c r="CC141" s="25"/>
      <c r="CD141" s="25"/>
      <c r="CE141" s="25"/>
      <c r="CF141" s="25"/>
      <c r="CG141" s="25"/>
      <c r="CH141" s="25"/>
      <c r="CI141" s="25"/>
      <c r="CJ141" s="25"/>
      <c r="CK141" s="25"/>
      <c r="CL141" s="25"/>
      <c r="CM141" s="25"/>
      <c r="CN141" s="25"/>
      <c r="CO141" s="25"/>
      <c r="CP141" s="25"/>
      <c r="CQ141" s="25"/>
      <c r="CR141" s="25"/>
      <c r="CS141" s="25"/>
      <c r="CT141" s="25"/>
      <c r="CU141" s="25"/>
      <c r="CV141" s="25"/>
      <c r="CW141" s="25"/>
      <c r="CX141" s="25"/>
      <c r="CY141" s="25"/>
      <c r="CZ141" s="25"/>
      <c r="DA141" s="25"/>
      <c r="DB141" s="25"/>
      <c r="DC141" s="25"/>
      <c r="DD141" s="25"/>
      <c r="DE141" s="25"/>
      <c r="DF141" s="25"/>
      <c r="DG141" s="25"/>
      <c r="DH141" s="25"/>
      <c r="DI141" s="25"/>
      <c r="DJ141" s="25"/>
      <c r="DK141" s="25"/>
      <c r="DL141" s="25"/>
      <c r="DM141" s="25"/>
      <c r="DN141" s="25"/>
      <c r="DO141" s="25"/>
      <c r="DP141" s="25"/>
      <c r="DQ141" s="25"/>
      <c r="DR141" s="25"/>
      <c r="DS141" s="25"/>
      <c r="DT141" s="25"/>
      <c r="DU141" s="25"/>
      <c r="DV141" s="25"/>
      <c r="DW141" s="25"/>
      <c r="DX141" s="25"/>
      <c r="DY141" s="25"/>
      <c r="DZ141" s="25"/>
      <c r="EA141" s="25"/>
      <c r="EB141" s="25"/>
      <c r="EC141" s="25"/>
      <c r="ED141" s="25"/>
      <c r="EE141" s="25"/>
      <c r="EF141" s="25"/>
      <c r="EG141" s="25"/>
      <c r="EH141" s="25"/>
      <c r="EI141" s="25"/>
      <c r="EJ141" s="25"/>
      <c r="EK141" s="25"/>
      <c r="EL141" s="25"/>
      <c r="EM141" s="25"/>
      <c r="EN141" s="25"/>
      <c r="EO141" s="25"/>
      <c r="EP141" s="25"/>
      <c r="EQ141" s="25"/>
      <c r="ER141" s="25"/>
      <c r="ES141" s="25"/>
      <c r="ET141" s="25"/>
    </row>
    <row r="142" spans="9:150" x14ac:dyDescent="0.25"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25"/>
      <c r="AM142" s="25"/>
      <c r="AN142" s="25"/>
      <c r="AO142" s="25"/>
      <c r="AP142" s="25"/>
      <c r="AQ142" s="25"/>
      <c r="AR142" s="25"/>
      <c r="AS142" s="25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  <c r="BF142" s="25"/>
      <c r="BG142" s="25"/>
      <c r="BH142" s="25"/>
      <c r="BI142" s="25"/>
      <c r="BJ142" s="25"/>
      <c r="BK142" s="25"/>
      <c r="BL142" s="25"/>
      <c r="BM142" s="25"/>
      <c r="BN142" s="25"/>
      <c r="BO142" s="25"/>
      <c r="BP142" s="25"/>
      <c r="BQ142" s="25"/>
      <c r="BR142" s="25"/>
      <c r="BS142" s="25"/>
      <c r="BT142" s="25"/>
      <c r="BU142" s="25"/>
      <c r="BV142" s="25"/>
      <c r="BW142" s="25"/>
      <c r="BX142" s="25"/>
      <c r="BY142" s="25"/>
      <c r="BZ142" s="25"/>
      <c r="CA142" s="25"/>
      <c r="CB142" s="25"/>
      <c r="CC142" s="25"/>
      <c r="CD142" s="25"/>
      <c r="CE142" s="25"/>
      <c r="CF142" s="25"/>
      <c r="CG142" s="25"/>
      <c r="CH142" s="25"/>
      <c r="CI142" s="25"/>
      <c r="CJ142" s="25"/>
      <c r="CK142" s="25"/>
      <c r="CL142" s="25"/>
      <c r="CM142" s="25"/>
      <c r="CN142" s="25"/>
      <c r="CO142" s="25"/>
      <c r="CP142" s="25"/>
      <c r="CQ142" s="25"/>
      <c r="CR142" s="25"/>
      <c r="CS142" s="25"/>
      <c r="CT142" s="25"/>
      <c r="CU142" s="25"/>
      <c r="CV142" s="25"/>
      <c r="CW142" s="25"/>
      <c r="CX142" s="25"/>
      <c r="CY142" s="25"/>
      <c r="CZ142" s="25"/>
      <c r="DA142" s="25"/>
      <c r="DB142" s="25"/>
      <c r="DC142" s="25"/>
      <c r="DD142" s="25"/>
      <c r="DE142" s="25"/>
      <c r="DF142" s="25"/>
      <c r="DG142" s="25"/>
      <c r="DH142" s="25"/>
      <c r="DI142" s="25"/>
      <c r="DJ142" s="25"/>
      <c r="DK142" s="25"/>
      <c r="DL142" s="25"/>
      <c r="DM142" s="25"/>
      <c r="DN142" s="25"/>
      <c r="DO142" s="25"/>
      <c r="DP142" s="25"/>
      <c r="DQ142" s="25"/>
      <c r="DR142" s="25"/>
      <c r="DS142" s="25"/>
      <c r="DT142" s="25"/>
      <c r="DU142" s="25"/>
      <c r="DV142" s="25"/>
      <c r="DW142" s="25"/>
      <c r="DX142" s="25"/>
      <c r="DY142" s="25"/>
      <c r="DZ142" s="25"/>
      <c r="EA142" s="25"/>
      <c r="EB142" s="25"/>
      <c r="EC142" s="25"/>
      <c r="ED142" s="25"/>
      <c r="EE142" s="25"/>
      <c r="EF142" s="25"/>
      <c r="EG142" s="25"/>
      <c r="EH142" s="25"/>
      <c r="EI142" s="25"/>
      <c r="EJ142" s="25"/>
      <c r="EK142" s="25"/>
      <c r="EL142" s="25"/>
      <c r="EM142" s="25"/>
      <c r="EN142" s="25"/>
      <c r="EO142" s="25"/>
      <c r="EP142" s="25"/>
      <c r="EQ142" s="25"/>
      <c r="ER142" s="25"/>
      <c r="ES142" s="25"/>
      <c r="ET142" s="25"/>
    </row>
    <row r="143" spans="9:150" x14ac:dyDescent="0.25"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25"/>
      <c r="AM143" s="25"/>
      <c r="AN143" s="25"/>
      <c r="AO143" s="25"/>
      <c r="AP143" s="25"/>
      <c r="AQ143" s="25"/>
      <c r="AR143" s="25"/>
      <c r="AS143" s="25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  <c r="BF143" s="25"/>
      <c r="BG143" s="25"/>
      <c r="BH143" s="25"/>
      <c r="BI143" s="25"/>
      <c r="BJ143" s="25"/>
      <c r="BK143" s="25"/>
      <c r="BL143" s="25"/>
      <c r="BM143" s="25"/>
      <c r="BN143" s="25"/>
      <c r="BO143" s="25"/>
      <c r="BP143" s="25"/>
      <c r="BQ143" s="25"/>
      <c r="BR143" s="25"/>
      <c r="BS143" s="25"/>
      <c r="BT143" s="25"/>
      <c r="BU143" s="25"/>
      <c r="BV143" s="25"/>
      <c r="BW143" s="25"/>
      <c r="BX143" s="25"/>
      <c r="BY143" s="25"/>
      <c r="BZ143" s="25"/>
      <c r="CA143" s="25"/>
      <c r="CB143" s="25"/>
      <c r="CC143" s="25"/>
      <c r="CD143" s="25"/>
      <c r="CE143" s="25"/>
      <c r="CF143" s="25"/>
      <c r="CG143" s="25"/>
      <c r="CH143" s="25"/>
      <c r="CI143" s="25"/>
      <c r="CJ143" s="25"/>
      <c r="CK143" s="25"/>
      <c r="CL143" s="25"/>
      <c r="CM143" s="25"/>
      <c r="CN143" s="25"/>
      <c r="CO143" s="25"/>
      <c r="CP143" s="25"/>
      <c r="CQ143" s="25"/>
      <c r="CR143" s="25"/>
      <c r="CS143" s="25"/>
      <c r="CT143" s="25"/>
      <c r="CU143" s="25"/>
      <c r="CV143" s="25"/>
      <c r="CW143" s="25"/>
      <c r="CX143" s="25"/>
      <c r="CY143" s="25"/>
      <c r="CZ143" s="25"/>
      <c r="DA143" s="25"/>
      <c r="DB143" s="25"/>
      <c r="DC143" s="25"/>
      <c r="DD143" s="25"/>
      <c r="DE143" s="25"/>
      <c r="DF143" s="25"/>
      <c r="DG143" s="25"/>
      <c r="DH143" s="25"/>
      <c r="DI143" s="25"/>
      <c r="DJ143" s="25"/>
      <c r="DK143" s="25"/>
      <c r="DL143" s="25"/>
      <c r="DM143" s="25"/>
      <c r="DN143" s="25"/>
      <c r="DO143" s="25"/>
      <c r="DP143" s="25"/>
      <c r="DQ143" s="25"/>
      <c r="DR143" s="25"/>
      <c r="DS143" s="25"/>
      <c r="DT143" s="25"/>
      <c r="DU143" s="25"/>
      <c r="DV143" s="25"/>
      <c r="DW143" s="25"/>
      <c r="DX143" s="25"/>
      <c r="DY143" s="25"/>
      <c r="DZ143" s="25"/>
      <c r="EA143" s="25"/>
      <c r="EB143" s="25"/>
      <c r="EC143" s="25"/>
      <c r="ED143" s="25"/>
      <c r="EE143" s="25"/>
      <c r="EF143" s="25"/>
      <c r="EG143" s="25"/>
      <c r="EH143" s="25"/>
      <c r="EI143" s="25"/>
      <c r="EJ143" s="25"/>
      <c r="EK143" s="25"/>
      <c r="EL143" s="25"/>
      <c r="EM143" s="25"/>
      <c r="EN143" s="25"/>
      <c r="EO143" s="25"/>
      <c r="EP143" s="25"/>
      <c r="EQ143" s="25"/>
      <c r="ER143" s="25"/>
      <c r="ES143" s="25"/>
      <c r="ET143" s="25"/>
    </row>
    <row r="144" spans="9:150" x14ac:dyDescent="0.25"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  <c r="AM144" s="25"/>
      <c r="AN144" s="25"/>
      <c r="AO144" s="25"/>
      <c r="AP144" s="25"/>
      <c r="AQ144" s="25"/>
      <c r="AR144" s="25"/>
      <c r="AS144" s="25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  <c r="BF144" s="25"/>
      <c r="BG144" s="25"/>
      <c r="BH144" s="25"/>
      <c r="BI144" s="25"/>
      <c r="BJ144" s="25"/>
      <c r="BK144" s="25"/>
      <c r="BL144" s="25"/>
      <c r="BM144" s="25"/>
      <c r="BN144" s="25"/>
      <c r="BO144" s="25"/>
      <c r="BP144" s="25"/>
      <c r="BQ144" s="25"/>
      <c r="BR144" s="25"/>
      <c r="BS144" s="25"/>
      <c r="BT144" s="25"/>
      <c r="BU144" s="25"/>
      <c r="BV144" s="25"/>
      <c r="BW144" s="25"/>
      <c r="BX144" s="25"/>
      <c r="BY144" s="25"/>
      <c r="BZ144" s="25"/>
      <c r="CA144" s="25"/>
      <c r="CB144" s="25"/>
      <c r="CC144" s="25"/>
      <c r="CD144" s="25"/>
      <c r="CE144" s="25"/>
      <c r="CF144" s="25"/>
      <c r="CG144" s="25"/>
      <c r="CH144" s="25"/>
      <c r="CI144" s="25"/>
      <c r="CJ144" s="25"/>
      <c r="CK144" s="25"/>
      <c r="CL144" s="25"/>
      <c r="CM144" s="25"/>
      <c r="CN144" s="25"/>
      <c r="CO144" s="25"/>
      <c r="CP144" s="25"/>
      <c r="CQ144" s="25"/>
      <c r="CR144" s="25"/>
      <c r="CS144" s="25"/>
      <c r="CT144" s="25"/>
      <c r="CU144" s="25"/>
      <c r="CV144" s="25"/>
      <c r="CW144" s="25"/>
      <c r="CX144" s="25"/>
      <c r="CY144" s="25"/>
      <c r="CZ144" s="25"/>
      <c r="DA144" s="25"/>
      <c r="DB144" s="25"/>
      <c r="DC144" s="25"/>
      <c r="DD144" s="25"/>
      <c r="DE144" s="25"/>
      <c r="DF144" s="25"/>
      <c r="DG144" s="25"/>
      <c r="DH144" s="25"/>
      <c r="DI144" s="25"/>
      <c r="DJ144" s="25"/>
      <c r="DK144" s="25"/>
      <c r="DL144" s="25"/>
      <c r="DM144" s="25"/>
      <c r="DN144" s="25"/>
      <c r="DO144" s="25"/>
      <c r="DP144" s="25"/>
      <c r="DQ144" s="25"/>
      <c r="DR144" s="25"/>
      <c r="DS144" s="25"/>
      <c r="DT144" s="25"/>
      <c r="DU144" s="25"/>
      <c r="DV144" s="25"/>
      <c r="DW144" s="25"/>
      <c r="DX144" s="25"/>
      <c r="DY144" s="25"/>
      <c r="DZ144" s="25"/>
      <c r="EA144" s="25"/>
      <c r="EB144" s="25"/>
      <c r="EC144" s="25"/>
      <c r="ED144" s="25"/>
      <c r="EE144" s="25"/>
      <c r="EF144" s="25"/>
      <c r="EG144" s="25"/>
      <c r="EH144" s="25"/>
      <c r="EI144" s="25"/>
      <c r="EJ144" s="25"/>
      <c r="EK144" s="25"/>
      <c r="EL144" s="25"/>
      <c r="EM144" s="25"/>
      <c r="EN144" s="25"/>
      <c r="EO144" s="25"/>
      <c r="EP144" s="25"/>
      <c r="EQ144" s="25"/>
      <c r="ER144" s="25"/>
      <c r="ES144" s="25"/>
      <c r="ET144" s="25"/>
    </row>
    <row r="145" spans="9:150" x14ac:dyDescent="0.25"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25"/>
      <c r="AM145" s="25"/>
      <c r="AN145" s="25"/>
      <c r="AO145" s="25"/>
      <c r="AP145" s="25"/>
      <c r="AQ145" s="25"/>
      <c r="AR145" s="25"/>
      <c r="AS145" s="25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  <c r="BF145" s="25"/>
      <c r="BG145" s="25"/>
      <c r="BH145" s="25"/>
      <c r="BI145" s="25"/>
      <c r="BJ145" s="25"/>
      <c r="BK145" s="25"/>
      <c r="BL145" s="25"/>
      <c r="BM145" s="25"/>
      <c r="BN145" s="25"/>
      <c r="BO145" s="25"/>
      <c r="BP145" s="25"/>
      <c r="BQ145" s="25"/>
      <c r="BR145" s="25"/>
      <c r="BS145" s="25"/>
      <c r="BT145" s="25"/>
      <c r="BU145" s="25"/>
      <c r="BV145" s="25"/>
      <c r="BW145" s="25"/>
      <c r="BX145" s="25"/>
      <c r="BY145" s="25"/>
      <c r="BZ145" s="25"/>
      <c r="CA145" s="25"/>
      <c r="CB145" s="25"/>
      <c r="CC145" s="25"/>
      <c r="CD145" s="25"/>
      <c r="CE145" s="25"/>
      <c r="CF145" s="25"/>
      <c r="CG145" s="25"/>
      <c r="CH145" s="25"/>
      <c r="CI145" s="25"/>
      <c r="CJ145" s="25"/>
      <c r="CK145" s="25"/>
      <c r="CL145" s="25"/>
      <c r="CM145" s="25"/>
      <c r="CN145" s="25"/>
      <c r="CO145" s="25"/>
      <c r="CP145" s="25"/>
      <c r="CQ145" s="25"/>
      <c r="CR145" s="25"/>
      <c r="CS145" s="25"/>
      <c r="CT145" s="25"/>
      <c r="CU145" s="25"/>
      <c r="CV145" s="25"/>
      <c r="CW145" s="25"/>
      <c r="CX145" s="25"/>
      <c r="CY145" s="25"/>
      <c r="CZ145" s="25"/>
      <c r="DA145" s="25"/>
      <c r="DB145" s="25"/>
      <c r="DC145" s="25"/>
      <c r="DD145" s="25"/>
      <c r="DE145" s="25"/>
      <c r="DF145" s="25"/>
      <c r="DG145" s="25"/>
      <c r="DH145" s="25"/>
      <c r="DI145" s="25"/>
      <c r="DJ145" s="25"/>
      <c r="DK145" s="25"/>
      <c r="DL145" s="25"/>
      <c r="DM145" s="25"/>
      <c r="DN145" s="25"/>
      <c r="DO145" s="25"/>
      <c r="DP145" s="25"/>
      <c r="DQ145" s="25"/>
      <c r="DR145" s="25"/>
      <c r="DS145" s="25"/>
      <c r="DT145" s="25"/>
      <c r="DU145" s="25"/>
      <c r="DV145" s="25"/>
      <c r="DW145" s="25"/>
      <c r="DX145" s="25"/>
      <c r="DY145" s="25"/>
      <c r="DZ145" s="25"/>
      <c r="EA145" s="25"/>
      <c r="EB145" s="25"/>
      <c r="EC145" s="25"/>
      <c r="ED145" s="25"/>
      <c r="EE145" s="25"/>
      <c r="EF145" s="25"/>
      <c r="EG145" s="25"/>
      <c r="EH145" s="25"/>
      <c r="EI145" s="25"/>
      <c r="EJ145" s="25"/>
      <c r="EK145" s="25"/>
      <c r="EL145" s="25"/>
      <c r="EM145" s="25"/>
      <c r="EN145" s="25"/>
      <c r="EO145" s="25"/>
      <c r="EP145" s="25"/>
      <c r="EQ145" s="25"/>
      <c r="ER145" s="25"/>
      <c r="ES145" s="25"/>
      <c r="ET145" s="25"/>
    </row>
    <row r="146" spans="9:150" x14ac:dyDescent="0.25"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  <c r="AM146" s="25"/>
      <c r="AN146" s="25"/>
      <c r="AO146" s="25"/>
      <c r="AP146" s="25"/>
      <c r="AQ146" s="25"/>
      <c r="AR146" s="25"/>
      <c r="AS146" s="25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  <c r="BF146" s="25"/>
      <c r="BG146" s="25"/>
      <c r="BH146" s="25"/>
      <c r="BI146" s="25"/>
      <c r="BJ146" s="25"/>
      <c r="BK146" s="25"/>
      <c r="BL146" s="25"/>
      <c r="BM146" s="25"/>
      <c r="BN146" s="25"/>
      <c r="BO146" s="25"/>
      <c r="BP146" s="25"/>
      <c r="BQ146" s="25"/>
      <c r="BR146" s="25"/>
      <c r="BS146" s="25"/>
      <c r="BT146" s="25"/>
      <c r="BU146" s="25"/>
      <c r="BV146" s="25"/>
      <c r="BW146" s="25"/>
      <c r="BX146" s="25"/>
      <c r="BY146" s="25"/>
      <c r="BZ146" s="25"/>
      <c r="CA146" s="25"/>
      <c r="CB146" s="25"/>
      <c r="CC146" s="25"/>
      <c r="CD146" s="25"/>
      <c r="CE146" s="25"/>
      <c r="CF146" s="25"/>
      <c r="CG146" s="25"/>
      <c r="CH146" s="25"/>
      <c r="CI146" s="25"/>
      <c r="CJ146" s="25"/>
      <c r="CK146" s="25"/>
      <c r="CL146" s="25"/>
      <c r="CM146" s="25"/>
      <c r="CN146" s="25"/>
      <c r="CO146" s="25"/>
      <c r="CP146" s="25"/>
      <c r="CQ146" s="25"/>
      <c r="CR146" s="25"/>
      <c r="CS146" s="25"/>
      <c r="CT146" s="25"/>
      <c r="CU146" s="25"/>
      <c r="CV146" s="25"/>
      <c r="CW146" s="25"/>
      <c r="CX146" s="25"/>
      <c r="CY146" s="25"/>
      <c r="CZ146" s="25"/>
      <c r="DA146" s="25"/>
      <c r="DB146" s="25"/>
      <c r="DC146" s="25"/>
      <c r="DD146" s="25"/>
      <c r="DE146" s="25"/>
      <c r="DF146" s="25"/>
      <c r="DG146" s="25"/>
      <c r="DH146" s="25"/>
      <c r="DI146" s="25"/>
      <c r="DJ146" s="25"/>
      <c r="DK146" s="25"/>
      <c r="DL146" s="25"/>
      <c r="DM146" s="25"/>
      <c r="DN146" s="25"/>
      <c r="DO146" s="25"/>
      <c r="DP146" s="25"/>
      <c r="DQ146" s="25"/>
      <c r="DR146" s="25"/>
      <c r="DS146" s="25"/>
      <c r="DT146" s="25"/>
      <c r="DU146" s="25"/>
      <c r="DV146" s="25"/>
      <c r="DW146" s="25"/>
      <c r="DX146" s="25"/>
      <c r="DY146" s="25"/>
      <c r="DZ146" s="25"/>
      <c r="EA146" s="25"/>
      <c r="EB146" s="25"/>
      <c r="EC146" s="25"/>
      <c r="ED146" s="25"/>
      <c r="EE146" s="25"/>
      <c r="EF146" s="25"/>
      <c r="EG146" s="25"/>
      <c r="EH146" s="25"/>
      <c r="EI146" s="25"/>
      <c r="EJ146" s="25"/>
      <c r="EK146" s="25"/>
      <c r="EL146" s="25"/>
      <c r="EM146" s="25"/>
      <c r="EN146" s="25"/>
      <c r="EO146" s="25"/>
      <c r="EP146" s="25"/>
      <c r="EQ146" s="25"/>
      <c r="ER146" s="25"/>
      <c r="ES146" s="25"/>
      <c r="ET146" s="25"/>
    </row>
    <row r="147" spans="9:150" x14ac:dyDescent="0.25"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  <c r="AL147" s="25"/>
      <c r="AM147" s="25"/>
      <c r="AN147" s="25"/>
      <c r="AO147" s="25"/>
      <c r="AP147" s="25"/>
      <c r="AQ147" s="25"/>
      <c r="AR147" s="25"/>
      <c r="AS147" s="25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  <c r="BF147" s="25"/>
      <c r="BG147" s="25"/>
      <c r="BH147" s="25"/>
      <c r="BI147" s="25"/>
      <c r="BJ147" s="25"/>
      <c r="BK147" s="25"/>
      <c r="BL147" s="25"/>
      <c r="BM147" s="25"/>
      <c r="BN147" s="25"/>
      <c r="BO147" s="25"/>
      <c r="BP147" s="25"/>
      <c r="BQ147" s="25"/>
      <c r="BR147" s="25"/>
      <c r="BS147" s="25"/>
      <c r="BT147" s="25"/>
      <c r="BU147" s="25"/>
      <c r="BV147" s="25"/>
      <c r="BW147" s="25"/>
      <c r="BX147" s="25"/>
      <c r="BY147" s="25"/>
      <c r="BZ147" s="25"/>
      <c r="CA147" s="25"/>
      <c r="CB147" s="25"/>
      <c r="CC147" s="25"/>
      <c r="CD147" s="25"/>
      <c r="CE147" s="25"/>
      <c r="CF147" s="25"/>
      <c r="CG147" s="25"/>
      <c r="CH147" s="25"/>
      <c r="CI147" s="25"/>
      <c r="CJ147" s="25"/>
      <c r="CK147" s="25"/>
      <c r="CL147" s="25"/>
      <c r="CM147" s="25"/>
      <c r="CN147" s="25"/>
      <c r="CO147" s="25"/>
      <c r="CP147" s="25"/>
      <c r="CQ147" s="25"/>
      <c r="CR147" s="25"/>
      <c r="CS147" s="25"/>
      <c r="CT147" s="25"/>
      <c r="CU147" s="25"/>
      <c r="CV147" s="25"/>
      <c r="CW147" s="25"/>
      <c r="CX147" s="25"/>
      <c r="CY147" s="25"/>
      <c r="CZ147" s="25"/>
      <c r="DA147" s="25"/>
      <c r="DB147" s="25"/>
      <c r="DC147" s="25"/>
      <c r="DD147" s="25"/>
      <c r="DE147" s="25"/>
      <c r="DF147" s="25"/>
      <c r="DG147" s="25"/>
      <c r="DH147" s="25"/>
      <c r="DI147" s="25"/>
      <c r="DJ147" s="25"/>
      <c r="DK147" s="25"/>
      <c r="DL147" s="25"/>
      <c r="DM147" s="25"/>
      <c r="DN147" s="25"/>
      <c r="DO147" s="25"/>
      <c r="DP147" s="25"/>
      <c r="DQ147" s="25"/>
      <c r="DR147" s="25"/>
      <c r="DS147" s="25"/>
      <c r="DT147" s="25"/>
      <c r="DU147" s="25"/>
      <c r="DV147" s="25"/>
      <c r="DW147" s="25"/>
      <c r="DX147" s="25"/>
      <c r="DY147" s="25"/>
      <c r="DZ147" s="25"/>
      <c r="EA147" s="25"/>
      <c r="EB147" s="25"/>
      <c r="EC147" s="25"/>
      <c r="ED147" s="25"/>
      <c r="EE147" s="25"/>
      <c r="EF147" s="25"/>
      <c r="EG147" s="25"/>
      <c r="EH147" s="25"/>
      <c r="EI147" s="25"/>
      <c r="EJ147" s="25"/>
      <c r="EK147" s="25"/>
      <c r="EL147" s="25"/>
      <c r="EM147" s="25"/>
      <c r="EN147" s="25"/>
      <c r="EO147" s="25"/>
      <c r="EP147" s="25"/>
      <c r="EQ147" s="25"/>
      <c r="ER147" s="25"/>
      <c r="ES147" s="25"/>
      <c r="ET147" s="25"/>
    </row>
    <row r="148" spans="9:150" x14ac:dyDescent="0.25"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25"/>
      <c r="AM148" s="25"/>
      <c r="AN148" s="25"/>
      <c r="AO148" s="25"/>
      <c r="AP148" s="25"/>
      <c r="AQ148" s="25"/>
      <c r="AR148" s="25"/>
      <c r="AS148" s="25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  <c r="BF148" s="25"/>
      <c r="BG148" s="25"/>
      <c r="BH148" s="25"/>
      <c r="BI148" s="25"/>
      <c r="BJ148" s="25"/>
      <c r="BK148" s="25"/>
      <c r="BL148" s="25"/>
      <c r="BM148" s="25"/>
      <c r="BN148" s="25"/>
      <c r="BO148" s="25"/>
      <c r="BP148" s="25"/>
      <c r="BQ148" s="25"/>
      <c r="BR148" s="25"/>
      <c r="BS148" s="25"/>
      <c r="BT148" s="25"/>
      <c r="BU148" s="25"/>
      <c r="BV148" s="25"/>
      <c r="BW148" s="25"/>
      <c r="BX148" s="25"/>
      <c r="BY148" s="25"/>
      <c r="BZ148" s="25"/>
      <c r="CA148" s="25"/>
      <c r="CB148" s="25"/>
      <c r="CC148" s="25"/>
      <c r="CD148" s="25"/>
      <c r="CE148" s="25"/>
      <c r="CF148" s="25"/>
      <c r="CG148" s="25"/>
      <c r="CH148" s="25"/>
      <c r="CI148" s="25"/>
      <c r="CJ148" s="25"/>
      <c r="CK148" s="25"/>
      <c r="CL148" s="25"/>
      <c r="CM148" s="25"/>
      <c r="CN148" s="25"/>
      <c r="CO148" s="25"/>
      <c r="CP148" s="25"/>
      <c r="CQ148" s="25"/>
      <c r="CR148" s="25"/>
      <c r="CS148" s="25"/>
      <c r="CT148" s="25"/>
      <c r="CU148" s="25"/>
      <c r="CV148" s="25"/>
      <c r="CW148" s="25"/>
      <c r="CX148" s="25"/>
      <c r="CY148" s="25"/>
      <c r="CZ148" s="25"/>
      <c r="DA148" s="25"/>
      <c r="DB148" s="25"/>
      <c r="DC148" s="25"/>
      <c r="DD148" s="25"/>
      <c r="DE148" s="25"/>
      <c r="DF148" s="25"/>
      <c r="DG148" s="25"/>
      <c r="DH148" s="25"/>
      <c r="DI148" s="25"/>
      <c r="DJ148" s="25"/>
      <c r="DK148" s="25"/>
      <c r="DL148" s="25"/>
      <c r="DM148" s="25"/>
      <c r="DN148" s="25"/>
      <c r="DO148" s="25"/>
      <c r="DP148" s="25"/>
      <c r="DQ148" s="25"/>
      <c r="DR148" s="25"/>
      <c r="DS148" s="25"/>
      <c r="DT148" s="25"/>
      <c r="DU148" s="25"/>
      <c r="DV148" s="25"/>
      <c r="DW148" s="25"/>
      <c r="DX148" s="25"/>
      <c r="DY148" s="25"/>
      <c r="DZ148" s="25"/>
      <c r="EA148" s="25"/>
      <c r="EB148" s="25"/>
      <c r="EC148" s="25"/>
      <c r="ED148" s="25"/>
      <c r="EE148" s="25"/>
      <c r="EF148" s="25"/>
      <c r="EG148" s="25"/>
      <c r="EH148" s="25"/>
      <c r="EI148" s="25"/>
      <c r="EJ148" s="25"/>
      <c r="EK148" s="25"/>
      <c r="EL148" s="25"/>
      <c r="EM148" s="25"/>
      <c r="EN148" s="25"/>
      <c r="EO148" s="25"/>
      <c r="EP148" s="25"/>
      <c r="EQ148" s="25"/>
      <c r="ER148" s="25"/>
      <c r="ES148" s="25"/>
      <c r="ET148" s="25"/>
    </row>
    <row r="149" spans="9:150" x14ac:dyDescent="0.25"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25"/>
      <c r="AM149" s="25"/>
      <c r="AN149" s="25"/>
      <c r="AO149" s="25"/>
      <c r="AP149" s="25"/>
      <c r="AQ149" s="25"/>
      <c r="AR149" s="25"/>
      <c r="AS149" s="25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  <c r="BF149" s="25"/>
      <c r="BG149" s="25"/>
      <c r="BH149" s="25"/>
      <c r="BI149" s="25"/>
      <c r="BJ149" s="25"/>
      <c r="BK149" s="25"/>
      <c r="BL149" s="25"/>
      <c r="BM149" s="25"/>
      <c r="BN149" s="25"/>
      <c r="BO149" s="25"/>
      <c r="BP149" s="25"/>
      <c r="BQ149" s="25"/>
      <c r="BR149" s="25"/>
      <c r="BS149" s="25"/>
      <c r="BT149" s="25"/>
      <c r="BU149" s="25"/>
      <c r="BV149" s="25"/>
      <c r="BW149" s="25"/>
      <c r="BX149" s="25"/>
      <c r="BY149" s="25"/>
      <c r="BZ149" s="25"/>
      <c r="CA149" s="25"/>
      <c r="CB149" s="25"/>
      <c r="CC149" s="25"/>
      <c r="CD149" s="25"/>
      <c r="CE149" s="25"/>
      <c r="CF149" s="25"/>
      <c r="CG149" s="25"/>
      <c r="CH149" s="25"/>
      <c r="CI149" s="25"/>
      <c r="CJ149" s="25"/>
      <c r="CK149" s="25"/>
      <c r="CL149" s="25"/>
      <c r="CM149" s="25"/>
      <c r="CN149" s="25"/>
      <c r="CO149" s="25"/>
      <c r="CP149" s="25"/>
      <c r="CQ149" s="25"/>
      <c r="CR149" s="25"/>
      <c r="CS149" s="25"/>
      <c r="CT149" s="25"/>
      <c r="CU149" s="25"/>
      <c r="CV149" s="25"/>
      <c r="CW149" s="25"/>
      <c r="CX149" s="25"/>
      <c r="CY149" s="25"/>
      <c r="CZ149" s="25"/>
      <c r="DA149" s="25"/>
      <c r="DB149" s="25"/>
      <c r="DC149" s="25"/>
      <c r="DD149" s="25"/>
      <c r="DE149" s="25"/>
      <c r="DF149" s="25"/>
      <c r="DG149" s="25"/>
      <c r="DH149" s="25"/>
      <c r="DI149" s="25"/>
      <c r="DJ149" s="25"/>
      <c r="DK149" s="25"/>
      <c r="DL149" s="25"/>
      <c r="DM149" s="25"/>
      <c r="DN149" s="25"/>
      <c r="DO149" s="25"/>
      <c r="DP149" s="25"/>
      <c r="DQ149" s="25"/>
      <c r="DR149" s="25"/>
      <c r="DS149" s="25"/>
      <c r="DT149" s="25"/>
      <c r="DU149" s="25"/>
      <c r="DV149" s="25"/>
      <c r="DW149" s="25"/>
      <c r="DX149" s="25"/>
      <c r="DY149" s="25"/>
      <c r="DZ149" s="25"/>
      <c r="EA149" s="25"/>
      <c r="EB149" s="25"/>
      <c r="EC149" s="25"/>
      <c r="ED149" s="25"/>
      <c r="EE149" s="25"/>
      <c r="EF149" s="25"/>
      <c r="EG149" s="25"/>
      <c r="EH149" s="25"/>
      <c r="EI149" s="25"/>
      <c r="EJ149" s="25"/>
      <c r="EK149" s="25"/>
      <c r="EL149" s="25"/>
      <c r="EM149" s="25"/>
      <c r="EN149" s="25"/>
      <c r="EO149" s="25"/>
      <c r="EP149" s="25"/>
      <c r="EQ149" s="25"/>
      <c r="ER149" s="25"/>
      <c r="ES149" s="25"/>
      <c r="ET149" s="25"/>
    </row>
    <row r="150" spans="9:150" x14ac:dyDescent="0.25"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25"/>
      <c r="AM150" s="25"/>
      <c r="AN150" s="25"/>
      <c r="AO150" s="25"/>
      <c r="AP150" s="25"/>
      <c r="AQ150" s="25"/>
      <c r="AR150" s="25"/>
      <c r="AS150" s="25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  <c r="BF150" s="25"/>
      <c r="BG150" s="25"/>
      <c r="BH150" s="25"/>
      <c r="BI150" s="25"/>
      <c r="BJ150" s="25"/>
      <c r="BK150" s="25"/>
      <c r="BL150" s="25"/>
      <c r="BM150" s="25"/>
      <c r="BN150" s="25"/>
      <c r="BO150" s="25"/>
      <c r="BP150" s="25"/>
      <c r="BQ150" s="25"/>
      <c r="BR150" s="25"/>
      <c r="BS150" s="25"/>
      <c r="BT150" s="25"/>
      <c r="BU150" s="25"/>
      <c r="BV150" s="25"/>
      <c r="BW150" s="25"/>
      <c r="BX150" s="25"/>
      <c r="BY150" s="25"/>
      <c r="BZ150" s="25"/>
      <c r="CA150" s="25"/>
      <c r="CB150" s="25"/>
      <c r="CC150" s="25"/>
      <c r="CD150" s="25"/>
      <c r="CE150" s="25"/>
      <c r="CF150" s="25"/>
      <c r="CG150" s="25"/>
      <c r="CH150" s="25"/>
      <c r="CI150" s="25"/>
      <c r="CJ150" s="25"/>
      <c r="CK150" s="25"/>
      <c r="CL150" s="25"/>
      <c r="CM150" s="25"/>
      <c r="CN150" s="25"/>
      <c r="CO150" s="25"/>
      <c r="CP150" s="25"/>
      <c r="CQ150" s="25"/>
      <c r="CR150" s="25"/>
      <c r="CS150" s="25"/>
      <c r="CT150" s="25"/>
      <c r="CU150" s="25"/>
      <c r="CV150" s="25"/>
      <c r="CW150" s="25"/>
      <c r="CX150" s="25"/>
      <c r="CY150" s="25"/>
      <c r="CZ150" s="25"/>
      <c r="DA150" s="25"/>
      <c r="DB150" s="25"/>
      <c r="DC150" s="25"/>
      <c r="DD150" s="25"/>
      <c r="DE150" s="25"/>
      <c r="DF150" s="25"/>
      <c r="DG150" s="25"/>
      <c r="DH150" s="25"/>
      <c r="DI150" s="25"/>
      <c r="DJ150" s="25"/>
      <c r="DK150" s="25"/>
      <c r="DL150" s="25"/>
      <c r="DM150" s="25"/>
      <c r="DN150" s="25"/>
      <c r="DO150" s="25"/>
      <c r="DP150" s="25"/>
      <c r="DQ150" s="25"/>
      <c r="DR150" s="25"/>
      <c r="DS150" s="25"/>
      <c r="DT150" s="25"/>
      <c r="DU150" s="25"/>
      <c r="DV150" s="25"/>
      <c r="DW150" s="25"/>
      <c r="DX150" s="25"/>
      <c r="DY150" s="25"/>
      <c r="DZ150" s="25"/>
      <c r="EA150" s="25"/>
      <c r="EB150" s="25"/>
      <c r="EC150" s="25"/>
      <c r="ED150" s="25"/>
      <c r="EE150" s="25"/>
      <c r="EF150" s="25"/>
      <c r="EG150" s="25"/>
      <c r="EH150" s="25"/>
      <c r="EI150" s="25"/>
      <c r="EJ150" s="25"/>
      <c r="EK150" s="25"/>
      <c r="EL150" s="25"/>
      <c r="EM150" s="25"/>
      <c r="EN150" s="25"/>
      <c r="EO150" s="25"/>
      <c r="EP150" s="25"/>
      <c r="EQ150" s="25"/>
      <c r="ER150" s="25"/>
      <c r="ES150" s="25"/>
      <c r="ET150" s="25"/>
    </row>
    <row r="151" spans="9:150" x14ac:dyDescent="0.25"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25"/>
      <c r="AM151" s="25"/>
      <c r="AN151" s="25"/>
      <c r="AO151" s="25"/>
      <c r="AP151" s="25"/>
      <c r="AQ151" s="25"/>
      <c r="AR151" s="25"/>
      <c r="AS151" s="25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  <c r="BF151" s="25"/>
      <c r="BG151" s="25"/>
      <c r="BH151" s="25"/>
      <c r="BI151" s="25"/>
      <c r="BJ151" s="25"/>
      <c r="BK151" s="25"/>
      <c r="BL151" s="25"/>
      <c r="BM151" s="25"/>
      <c r="BN151" s="25"/>
      <c r="BO151" s="25"/>
      <c r="BP151" s="25"/>
      <c r="BQ151" s="25"/>
      <c r="BR151" s="25"/>
      <c r="BS151" s="25"/>
      <c r="BT151" s="25"/>
      <c r="BU151" s="25"/>
      <c r="BV151" s="25"/>
      <c r="BW151" s="25"/>
      <c r="BX151" s="25"/>
      <c r="BY151" s="25"/>
      <c r="BZ151" s="25"/>
      <c r="CA151" s="25"/>
      <c r="CB151" s="25"/>
      <c r="CC151" s="25"/>
      <c r="CD151" s="25"/>
      <c r="CE151" s="25"/>
      <c r="CF151" s="25"/>
      <c r="CG151" s="25"/>
      <c r="CH151" s="25"/>
      <c r="CI151" s="25"/>
      <c r="CJ151" s="25"/>
      <c r="CK151" s="25"/>
      <c r="CL151" s="25"/>
      <c r="CM151" s="25"/>
      <c r="CN151" s="25"/>
      <c r="CO151" s="25"/>
      <c r="CP151" s="25"/>
      <c r="CQ151" s="25"/>
      <c r="CR151" s="25"/>
      <c r="CS151" s="25"/>
      <c r="CT151" s="25"/>
      <c r="CU151" s="25"/>
      <c r="CV151" s="25"/>
      <c r="CW151" s="25"/>
      <c r="CX151" s="25"/>
      <c r="CY151" s="25"/>
      <c r="CZ151" s="25"/>
      <c r="DA151" s="25"/>
      <c r="DB151" s="25"/>
      <c r="DC151" s="25"/>
      <c r="DD151" s="25"/>
      <c r="DE151" s="25"/>
      <c r="DF151" s="25"/>
      <c r="DG151" s="25"/>
      <c r="DH151" s="25"/>
      <c r="DI151" s="25"/>
      <c r="DJ151" s="25"/>
      <c r="DK151" s="25"/>
      <c r="DL151" s="25"/>
      <c r="DM151" s="25"/>
      <c r="DN151" s="25"/>
      <c r="DO151" s="25"/>
      <c r="DP151" s="25"/>
      <c r="DQ151" s="25"/>
      <c r="DR151" s="25"/>
      <c r="DS151" s="25"/>
      <c r="DT151" s="25"/>
      <c r="DU151" s="25"/>
      <c r="DV151" s="25"/>
      <c r="DW151" s="25"/>
      <c r="DX151" s="25"/>
      <c r="DY151" s="25"/>
      <c r="DZ151" s="25"/>
      <c r="EA151" s="25"/>
      <c r="EB151" s="25"/>
      <c r="EC151" s="25"/>
      <c r="ED151" s="25"/>
      <c r="EE151" s="25"/>
      <c r="EF151" s="25"/>
      <c r="EG151" s="25"/>
      <c r="EH151" s="25"/>
      <c r="EI151" s="25"/>
      <c r="EJ151" s="25"/>
      <c r="EK151" s="25"/>
      <c r="EL151" s="25"/>
      <c r="EM151" s="25"/>
      <c r="EN151" s="25"/>
      <c r="EO151" s="25"/>
      <c r="EP151" s="25"/>
      <c r="EQ151" s="25"/>
      <c r="ER151" s="25"/>
      <c r="ES151" s="25"/>
      <c r="ET151" s="25"/>
    </row>
    <row r="152" spans="9:150" x14ac:dyDescent="0.25"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5"/>
      <c r="AL152" s="25"/>
      <c r="AM152" s="25"/>
      <c r="AN152" s="25"/>
      <c r="AO152" s="25"/>
      <c r="AP152" s="25"/>
      <c r="AQ152" s="25"/>
      <c r="AR152" s="25"/>
      <c r="AS152" s="25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  <c r="BF152" s="25"/>
      <c r="BG152" s="25"/>
      <c r="BH152" s="25"/>
      <c r="BI152" s="25"/>
      <c r="BJ152" s="25"/>
      <c r="BK152" s="25"/>
      <c r="BL152" s="25"/>
      <c r="BM152" s="25"/>
      <c r="BN152" s="25"/>
      <c r="BO152" s="25"/>
      <c r="BP152" s="25"/>
      <c r="BQ152" s="25"/>
      <c r="BR152" s="25"/>
      <c r="BS152" s="25"/>
      <c r="BT152" s="25"/>
      <c r="BU152" s="25"/>
      <c r="BV152" s="25"/>
      <c r="BW152" s="25"/>
      <c r="BX152" s="25"/>
      <c r="BY152" s="25"/>
      <c r="BZ152" s="25"/>
      <c r="CA152" s="25"/>
      <c r="CB152" s="25"/>
      <c r="CC152" s="25"/>
      <c r="CD152" s="25"/>
      <c r="CE152" s="25"/>
      <c r="CF152" s="25"/>
      <c r="CG152" s="25"/>
      <c r="CH152" s="25"/>
      <c r="CI152" s="25"/>
      <c r="CJ152" s="25"/>
      <c r="CK152" s="25"/>
      <c r="CL152" s="25"/>
      <c r="CM152" s="25"/>
      <c r="CN152" s="25"/>
      <c r="CO152" s="25"/>
      <c r="CP152" s="25"/>
      <c r="CQ152" s="25"/>
      <c r="CR152" s="25"/>
      <c r="CS152" s="25"/>
      <c r="CT152" s="25"/>
      <c r="CU152" s="25"/>
      <c r="CV152" s="25"/>
      <c r="CW152" s="25"/>
      <c r="CX152" s="25"/>
      <c r="CY152" s="25"/>
      <c r="CZ152" s="25"/>
      <c r="DA152" s="25"/>
      <c r="DB152" s="25"/>
      <c r="DC152" s="25"/>
      <c r="DD152" s="25"/>
      <c r="DE152" s="25"/>
      <c r="DF152" s="25"/>
      <c r="DG152" s="25"/>
      <c r="DH152" s="25"/>
      <c r="DI152" s="25"/>
      <c r="DJ152" s="25"/>
      <c r="DK152" s="25"/>
      <c r="DL152" s="25"/>
      <c r="DM152" s="25"/>
      <c r="DN152" s="25"/>
      <c r="DO152" s="25"/>
      <c r="DP152" s="25"/>
      <c r="DQ152" s="25"/>
      <c r="DR152" s="25"/>
      <c r="DS152" s="25"/>
      <c r="DT152" s="25"/>
      <c r="DU152" s="25"/>
      <c r="DV152" s="25"/>
      <c r="DW152" s="25"/>
      <c r="DX152" s="25"/>
      <c r="DY152" s="25"/>
      <c r="DZ152" s="25"/>
      <c r="EA152" s="25"/>
      <c r="EB152" s="25"/>
      <c r="EC152" s="25"/>
      <c r="ED152" s="25"/>
      <c r="EE152" s="25"/>
      <c r="EF152" s="25"/>
      <c r="EG152" s="25"/>
      <c r="EH152" s="25"/>
      <c r="EI152" s="25"/>
      <c r="EJ152" s="25"/>
      <c r="EK152" s="25"/>
      <c r="EL152" s="25"/>
      <c r="EM152" s="25"/>
      <c r="EN152" s="25"/>
      <c r="EO152" s="25"/>
      <c r="EP152" s="25"/>
      <c r="EQ152" s="25"/>
      <c r="ER152" s="25"/>
      <c r="ES152" s="25"/>
      <c r="ET152" s="25"/>
    </row>
    <row r="153" spans="9:150" x14ac:dyDescent="0.25"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5"/>
      <c r="AL153" s="25"/>
      <c r="AM153" s="25"/>
      <c r="AN153" s="25"/>
      <c r="AO153" s="25"/>
      <c r="AP153" s="25"/>
      <c r="AQ153" s="25"/>
      <c r="AR153" s="25"/>
      <c r="AS153" s="25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  <c r="BF153" s="25"/>
      <c r="BG153" s="25"/>
      <c r="BH153" s="25"/>
      <c r="BI153" s="25"/>
      <c r="BJ153" s="25"/>
      <c r="BK153" s="25"/>
      <c r="BL153" s="25"/>
      <c r="BM153" s="25"/>
      <c r="BN153" s="25"/>
      <c r="BO153" s="25"/>
      <c r="BP153" s="25"/>
      <c r="BQ153" s="25"/>
      <c r="BR153" s="25"/>
      <c r="BS153" s="25"/>
      <c r="BT153" s="25"/>
      <c r="BU153" s="25"/>
      <c r="BV153" s="25"/>
      <c r="BW153" s="25"/>
      <c r="BX153" s="25"/>
      <c r="BY153" s="25"/>
      <c r="BZ153" s="25"/>
      <c r="CA153" s="25"/>
      <c r="CB153" s="25"/>
      <c r="CC153" s="25"/>
      <c r="CD153" s="25"/>
      <c r="CE153" s="25"/>
      <c r="CF153" s="25"/>
      <c r="CG153" s="25"/>
      <c r="CH153" s="25"/>
      <c r="CI153" s="25"/>
      <c r="CJ153" s="25"/>
      <c r="CK153" s="25"/>
      <c r="CL153" s="25"/>
      <c r="CM153" s="25"/>
      <c r="CN153" s="25"/>
      <c r="CO153" s="25"/>
      <c r="CP153" s="25"/>
      <c r="CQ153" s="25"/>
      <c r="CR153" s="25"/>
      <c r="CS153" s="25"/>
      <c r="CT153" s="25"/>
      <c r="CU153" s="25"/>
      <c r="CV153" s="25"/>
      <c r="CW153" s="25"/>
      <c r="CX153" s="25"/>
      <c r="CY153" s="25"/>
      <c r="CZ153" s="25"/>
      <c r="DA153" s="25"/>
      <c r="DB153" s="25"/>
      <c r="DC153" s="25"/>
      <c r="DD153" s="25"/>
      <c r="DE153" s="25"/>
      <c r="DF153" s="25"/>
      <c r="DG153" s="25"/>
      <c r="DH153" s="25"/>
      <c r="DI153" s="25"/>
      <c r="DJ153" s="25"/>
      <c r="DK153" s="25"/>
      <c r="DL153" s="25"/>
      <c r="DM153" s="25"/>
      <c r="DN153" s="25"/>
      <c r="DO153" s="25"/>
      <c r="DP153" s="25"/>
      <c r="DQ153" s="25"/>
      <c r="DR153" s="25"/>
      <c r="DS153" s="25"/>
      <c r="DT153" s="25"/>
      <c r="DU153" s="25"/>
      <c r="DV153" s="25"/>
      <c r="DW153" s="25"/>
      <c r="DX153" s="25"/>
      <c r="DY153" s="25"/>
      <c r="DZ153" s="25"/>
      <c r="EA153" s="25"/>
      <c r="EB153" s="25"/>
      <c r="EC153" s="25"/>
      <c r="ED153" s="25"/>
      <c r="EE153" s="25"/>
      <c r="EF153" s="25"/>
      <c r="EG153" s="25"/>
      <c r="EH153" s="25"/>
      <c r="EI153" s="25"/>
      <c r="EJ153" s="25"/>
      <c r="EK153" s="25"/>
      <c r="EL153" s="25"/>
      <c r="EM153" s="25"/>
      <c r="EN153" s="25"/>
      <c r="EO153" s="25"/>
      <c r="EP153" s="25"/>
      <c r="EQ153" s="25"/>
      <c r="ER153" s="25"/>
      <c r="ES153" s="25"/>
      <c r="ET153" s="25"/>
    </row>
    <row r="154" spans="9:150" x14ac:dyDescent="0.25"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25"/>
      <c r="AM154" s="25"/>
      <c r="AN154" s="25"/>
      <c r="AO154" s="25"/>
      <c r="AP154" s="25"/>
      <c r="AQ154" s="25"/>
      <c r="AR154" s="25"/>
      <c r="AS154" s="25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  <c r="BF154" s="25"/>
      <c r="BG154" s="25"/>
      <c r="BH154" s="25"/>
      <c r="BI154" s="25"/>
      <c r="BJ154" s="25"/>
      <c r="BK154" s="25"/>
      <c r="BL154" s="25"/>
      <c r="BM154" s="25"/>
      <c r="BN154" s="25"/>
      <c r="BO154" s="25"/>
      <c r="BP154" s="25"/>
      <c r="BQ154" s="25"/>
      <c r="BR154" s="25"/>
      <c r="BS154" s="25"/>
      <c r="BT154" s="25"/>
      <c r="BU154" s="25"/>
      <c r="BV154" s="25"/>
      <c r="BW154" s="25"/>
      <c r="BX154" s="25"/>
      <c r="BY154" s="25"/>
      <c r="BZ154" s="25"/>
      <c r="CA154" s="25"/>
      <c r="CB154" s="25"/>
      <c r="CC154" s="25"/>
      <c r="CD154" s="25"/>
      <c r="CE154" s="25"/>
      <c r="CF154" s="25"/>
      <c r="CG154" s="25"/>
      <c r="CH154" s="25"/>
      <c r="CI154" s="25"/>
      <c r="CJ154" s="25"/>
      <c r="CK154" s="25"/>
      <c r="CL154" s="25"/>
      <c r="CM154" s="25"/>
      <c r="CN154" s="25"/>
      <c r="CO154" s="25"/>
      <c r="CP154" s="25"/>
      <c r="CQ154" s="25"/>
      <c r="CR154" s="25"/>
      <c r="CS154" s="25"/>
      <c r="CT154" s="25"/>
      <c r="CU154" s="25"/>
      <c r="CV154" s="25"/>
      <c r="CW154" s="25"/>
      <c r="CX154" s="25"/>
      <c r="CY154" s="25"/>
      <c r="CZ154" s="25"/>
      <c r="DA154" s="25"/>
      <c r="DB154" s="25"/>
      <c r="DC154" s="25"/>
      <c r="DD154" s="25"/>
      <c r="DE154" s="25"/>
      <c r="DF154" s="25"/>
      <c r="DG154" s="25"/>
      <c r="DH154" s="25"/>
      <c r="DI154" s="25"/>
      <c r="DJ154" s="25"/>
      <c r="DK154" s="25"/>
      <c r="DL154" s="25"/>
      <c r="DM154" s="25"/>
      <c r="DN154" s="25"/>
      <c r="DO154" s="25"/>
      <c r="DP154" s="25"/>
      <c r="DQ154" s="25"/>
      <c r="DR154" s="25"/>
      <c r="DS154" s="25"/>
      <c r="DT154" s="25"/>
      <c r="DU154" s="25"/>
      <c r="DV154" s="25"/>
      <c r="DW154" s="25"/>
      <c r="DX154" s="25"/>
      <c r="DY154" s="25"/>
      <c r="DZ154" s="25"/>
      <c r="EA154" s="25"/>
      <c r="EB154" s="25"/>
      <c r="EC154" s="25"/>
      <c r="ED154" s="25"/>
      <c r="EE154" s="25"/>
      <c r="EF154" s="25"/>
      <c r="EG154" s="25"/>
      <c r="EH154" s="25"/>
      <c r="EI154" s="25"/>
      <c r="EJ154" s="25"/>
      <c r="EK154" s="25"/>
      <c r="EL154" s="25"/>
      <c r="EM154" s="25"/>
      <c r="EN154" s="25"/>
      <c r="EO154" s="25"/>
      <c r="EP154" s="25"/>
      <c r="EQ154" s="25"/>
      <c r="ER154" s="25"/>
      <c r="ES154" s="25"/>
      <c r="ET154" s="25"/>
    </row>
    <row r="155" spans="9:150" x14ac:dyDescent="0.25"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5"/>
      <c r="AL155" s="25"/>
      <c r="AM155" s="25"/>
      <c r="AN155" s="25"/>
      <c r="AO155" s="25"/>
      <c r="AP155" s="25"/>
      <c r="AQ155" s="25"/>
      <c r="AR155" s="25"/>
      <c r="AS155" s="25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  <c r="BF155" s="25"/>
      <c r="BG155" s="25"/>
      <c r="BH155" s="25"/>
      <c r="BI155" s="25"/>
      <c r="BJ155" s="25"/>
      <c r="BK155" s="25"/>
      <c r="BL155" s="25"/>
      <c r="BM155" s="25"/>
      <c r="BN155" s="25"/>
      <c r="BO155" s="25"/>
      <c r="BP155" s="25"/>
      <c r="BQ155" s="25"/>
      <c r="BR155" s="25"/>
      <c r="BS155" s="25"/>
      <c r="BT155" s="25"/>
      <c r="BU155" s="25"/>
      <c r="BV155" s="25"/>
      <c r="BW155" s="25"/>
      <c r="BX155" s="25"/>
      <c r="BY155" s="25"/>
      <c r="BZ155" s="25"/>
      <c r="CA155" s="25"/>
      <c r="CB155" s="25"/>
      <c r="CC155" s="25"/>
      <c r="CD155" s="25"/>
      <c r="CE155" s="25"/>
      <c r="CF155" s="25"/>
      <c r="CG155" s="25"/>
      <c r="CH155" s="25"/>
      <c r="CI155" s="25"/>
      <c r="CJ155" s="25"/>
      <c r="CK155" s="25"/>
      <c r="CL155" s="25"/>
      <c r="CM155" s="25"/>
      <c r="CN155" s="25"/>
      <c r="CO155" s="25"/>
      <c r="CP155" s="25"/>
      <c r="CQ155" s="25"/>
      <c r="CR155" s="25"/>
      <c r="CS155" s="25"/>
      <c r="CT155" s="25"/>
      <c r="CU155" s="25"/>
      <c r="CV155" s="25"/>
      <c r="CW155" s="25"/>
      <c r="CX155" s="25"/>
      <c r="CY155" s="25"/>
      <c r="CZ155" s="25"/>
      <c r="DA155" s="25"/>
      <c r="DB155" s="25"/>
      <c r="DC155" s="25"/>
      <c r="DD155" s="25"/>
      <c r="DE155" s="25"/>
      <c r="DF155" s="25"/>
      <c r="DG155" s="25"/>
      <c r="DH155" s="25"/>
      <c r="DI155" s="25"/>
      <c r="DJ155" s="25"/>
      <c r="DK155" s="25"/>
      <c r="DL155" s="25"/>
      <c r="DM155" s="25"/>
      <c r="DN155" s="25"/>
      <c r="DO155" s="25"/>
      <c r="DP155" s="25"/>
      <c r="DQ155" s="25"/>
      <c r="DR155" s="25"/>
      <c r="DS155" s="25"/>
      <c r="DT155" s="25"/>
      <c r="DU155" s="25"/>
      <c r="DV155" s="25"/>
      <c r="DW155" s="25"/>
      <c r="DX155" s="25"/>
      <c r="DY155" s="25"/>
      <c r="DZ155" s="25"/>
      <c r="EA155" s="25"/>
      <c r="EB155" s="25"/>
      <c r="EC155" s="25"/>
      <c r="ED155" s="25"/>
      <c r="EE155" s="25"/>
      <c r="EF155" s="25"/>
      <c r="EG155" s="25"/>
      <c r="EH155" s="25"/>
      <c r="EI155" s="25"/>
      <c r="EJ155" s="25"/>
      <c r="EK155" s="25"/>
      <c r="EL155" s="25"/>
      <c r="EM155" s="25"/>
      <c r="EN155" s="25"/>
      <c r="EO155" s="25"/>
      <c r="EP155" s="25"/>
      <c r="EQ155" s="25"/>
      <c r="ER155" s="25"/>
      <c r="ES155" s="25"/>
      <c r="ET155" s="25"/>
    </row>
    <row r="156" spans="9:150" x14ac:dyDescent="0.25"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5"/>
      <c r="AL156" s="25"/>
      <c r="AM156" s="25"/>
      <c r="AN156" s="25"/>
      <c r="AO156" s="25"/>
      <c r="AP156" s="25"/>
      <c r="AQ156" s="25"/>
      <c r="AR156" s="25"/>
      <c r="AS156" s="25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  <c r="BF156" s="25"/>
      <c r="BG156" s="25"/>
      <c r="BH156" s="25"/>
      <c r="BI156" s="25"/>
      <c r="BJ156" s="25"/>
      <c r="BK156" s="25"/>
      <c r="BL156" s="25"/>
      <c r="BM156" s="25"/>
      <c r="BN156" s="25"/>
      <c r="BO156" s="25"/>
      <c r="BP156" s="25"/>
      <c r="BQ156" s="25"/>
      <c r="BR156" s="25"/>
      <c r="BS156" s="25"/>
      <c r="BT156" s="25"/>
      <c r="BU156" s="25"/>
      <c r="BV156" s="25"/>
      <c r="BW156" s="25"/>
      <c r="BX156" s="25"/>
      <c r="BY156" s="25"/>
      <c r="BZ156" s="25"/>
      <c r="CA156" s="25"/>
      <c r="CB156" s="25"/>
      <c r="CC156" s="25"/>
      <c r="CD156" s="25"/>
      <c r="CE156" s="25"/>
      <c r="CF156" s="25"/>
      <c r="CG156" s="25"/>
      <c r="CH156" s="25"/>
      <c r="CI156" s="25"/>
      <c r="CJ156" s="25"/>
      <c r="CK156" s="25"/>
      <c r="CL156" s="25"/>
      <c r="CM156" s="25"/>
      <c r="CN156" s="25"/>
      <c r="CO156" s="25"/>
      <c r="CP156" s="25"/>
      <c r="CQ156" s="25"/>
      <c r="CR156" s="25"/>
      <c r="CS156" s="25"/>
      <c r="CT156" s="25"/>
      <c r="CU156" s="25"/>
      <c r="CV156" s="25"/>
      <c r="CW156" s="25"/>
      <c r="CX156" s="25"/>
      <c r="CY156" s="25"/>
      <c r="CZ156" s="25"/>
      <c r="DA156" s="25"/>
      <c r="DB156" s="25"/>
      <c r="DC156" s="25"/>
      <c r="DD156" s="25"/>
      <c r="DE156" s="25"/>
      <c r="DF156" s="25"/>
      <c r="DG156" s="25"/>
      <c r="DH156" s="25"/>
      <c r="DI156" s="25"/>
      <c r="DJ156" s="25"/>
      <c r="DK156" s="25"/>
      <c r="DL156" s="25"/>
      <c r="DM156" s="25"/>
      <c r="DN156" s="25"/>
      <c r="DO156" s="25"/>
      <c r="DP156" s="25"/>
      <c r="DQ156" s="25"/>
      <c r="DR156" s="25"/>
      <c r="DS156" s="25"/>
      <c r="DT156" s="25"/>
      <c r="DU156" s="25"/>
      <c r="DV156" s="25"/>
      <c r="DW156" s="25"/>
      <c r="DX156" s="25"/>
      <c r="DY156" s="25"/>
      <c r="DZ156" s="25"/>
      <c r="EA156" s="25"/>
      <c r="EB156" s="25"/>
      <c r="EC156" s="25"/>
      <c r="ED156" s="25"/>
      <c r="EE156" s="25"/>
      <c r="EF156" s="25"/>
      <c r="EG156" s="25"/>
      <c r="EH156" s="25"/>
      <c r="EI156" s="25"/>
      <c r="EJ156" s="25"/>
      <c r="EK156" s="25"/>
      <c r="EL156" s="25"/>
      <c r="EM156" s="25"/>
      <c r="EN156" s="25"/>
      <c r="EO156" s="25"/>
      <c r="EP156" s="25"/>
      <c r="EQ156" s="25"/>
      <c r="ER156" s="25"/>
      <c r="ES156" s="25"/>
      <c r="ET156" s="25"/>
    </row>
    <row r="157" spans="9:150" x14ac:dyDescent="0.25"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25"/>
      <c r="AM157" s="25"/>
      <c r="AN157" s="25"/>
      <c r="AO157" s="25"/>
      <c r="AP157" s="25"/>
      <c r="AQ157" s="25"/>
      <c r="AR157" s="25"/>
      <c r="AS157" s="25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  <c r="BF157" s="25"/>
      <c r="BG157" s="25"/>
      <c r="BH157" s="25"/>
      <c r="BI157" s="25"/>
      <c r="BJ157" s="25"/>
      <c r="BK157" s="25"/>
      <c r="BL157" s="25"/>
      <c r="BM157" s="25"/>
      <c r="BN157" s="25"/>
      <c r="BO157" s="25"/>
      <c r="BP157" s="25"/>
      <c r="BQ157" s="25"/>
      <c r="BR157" s="25"/>
      <c r="BS157" s="25"/>
      <c r="BT157" s="25"/>
      <c r="BU157" s="25"/>
      <c r="BV157" s="25"/>
      <c r="BW157" s="25"/>
      <c r="BX157" s="25"/>
      <c r="BY157" s="25"/>
      <c r="BZ157" s="25"/>
      <c r="CA157" s="25"/>
      <c r="CB157" s="25"/>
      <c r="CC157" s="25"/>
      <c r="CD157" s="25"/>
      <c r="CE157" s="25"/>
      <c r="CF157" s="25"/>
      <c r="CG157" s="25"/>
      <c r="CH157" s="25"/>
      <c r="CI157" s="25"/>
      <c r="CJ157" s="25"/>
      <c r="CK157" s="25"/>
      <c r="CL157" s="25"/>
      <c r="CM157" s="25"/>
      <c r="CN157" s="25"/>
      <c r="CO157" s="25"/>
      <c r="CP157" s="25"/>
      <c r="CQ157" s="25"/>
      <c r="CR157" s="25"/>
      <c r="CS157" s="25"/>
      <c r="CT157" s="25"/>
      <c r="CU157" s="25"/>
      <c r="CV157" s="25"/>
      <c r="CW157" s="25"/>
      <c r="CX157" s="25"/>
      <c r="CY157" s="25"/>
      <c r="CZ157" s="25"/>
      <c r="DA157" s="25"/>
      <c r="DB157" s="25"/>
      <c r="DC157" s="25"/>
      <c r="DD157" s="25"/>
      <c r="DE157" s="25"/>
      <c r="DF157" s="25"/>
      <c r="DG157" s="25"/>
      <c r="DH157" s="25"/>
      <c r="DI157" s="25"/>
      <c r="DJ157" s="25"/>
      <c r="DK157" s="25"/>
      <c r="DL157" s="25"/>
      <c r="DM157" s="25"/>
      <c r="DN157" s="25"/>
      <c r="DO157" s="25"/>
      <c r="DP157" s="25"/>
      <c r="DQ157" s="25"/>
      <c r="DR157" s="25"/>
      <c r="DS157" s="25"/>
      <c r="DT157" s="25"/>
      <c r="DU157" s="25"/>
      <c r="DV157" s="25"/>
      <c r="DW157" s="25"/>
      <c r="DX157" s="25"/>
      <c r="DY157" s="25"/>
      <c r="DZ157" s="25"/>
      <c r="EA157" s="25"/>
      <c r="EB157" s="25"/>
      <c r="EC157" s="25"/>
      <c r="ED157" s="25"/>
      <c r="EE157" s="25"/>
      <c r="EF157" s="25"/>
      <c r="EG157" s="25"/>
      <c r="EH157" s="25"/>
      <c r="EI157" s="25"/>
      <c r="EJ157" s="25"/>
      <c r="EK157" s="25"/>
      <c r="EL157" s="25"/>
      <c r="EM157" s="25"/>
      <c r="EN157" s="25"/>
      <c r="EO157" s="25"/>
      <c r="EP157" s="25"/>
      <c r="EQ157" s="25"/>
      <c r="ER157" s="25"/>
      <c r="ES157" s="25"/>
      <c r="ET157" s="25"/>
    </row>
    <row r="158" spans="9:150" x14ac:dyDescent="0.25"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25"/>
      <c r="AM158" s="25"/>
      <c r="AN158" s="25"/>
      <c r="AO158" s="25"/>
      <c r="AP158" s="25"/>
      <c r="AQ158" s="25"/>
      <c r="AR158" s="25"/>
      <c r="AS158" s="25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  <c r="BF158" s="25"/>
      <c r="BG158" s="25"/>
      <c r="BH158" s="25"/>
      <c r="BI158" s="25"/>
      <c r="BJ158" s="25"/>
      <c r="BK158" s="25"/>
      <c r="BL158" s="25"/>
      <c r="BM158" s="25"/>
      <c r="BN158" s="25"/>
      <c r="BO158" s="25"/>
      <c r="BP158" s="25"/>
      <c r="BQ158" s="25"/>
      <c r="BR158" s="25"/>
      <c r="BS158" s="25"/>
      <c r="BT158" s="25"/>
      <c r="BU158" s="25"/>
      <c r="BV158" s="25"/>
      <c r="BW158" s="25"/>
      <c r="BX158" s="25"/>
      <c r="BY158" s="25"/>
      <c r="BZ158" s="25"/>
      <c r="CA158" s="25"/>
      <c r="CB158" s="25"/>
      <c r="CC158" s="25"/>
      <c r="CD158" s="25"/>
      <c r="CE158" s="25"/>
      <c r="CF158" s="25"/>
      <c r="CG158" s="25"/>
      <c r="CH158" s="25"/>
      <c r="CI158" s="25"/>
      <c r="CJ158" s="25"/>
      <c r="CK158" s="25"/>
      <c r="CL158" s="25"/>
      <c r="CM158" s="25"/>
      <c r="CN158" s="25"/>
      <c r="CO158" s="25"/>
      <c r="CP158" s="25"/>
      <c r="CQ158" s="25"/>
      <c r="CR158" s="25"/>
      <c r="CS158" s="25"/>
      <c r="CT158" s="25"/>
      <c r="CU158" s="25"/>
      <c r="CV158" s="25"/>
      <c r="CW158" s="25"/>
      <c r="CX158" s="25"/>
      <c r="CY158" s="25"/>
      <c r="CZ158" s="25"/>
      <c r="DA158" s="25"/>
      <c r="DB158" s="25"/>
      <c r="DC158" s="25"/>
      <c r="DD158" s="25"/>
      <c r="DE158" s="25"/>
      <c r="DF158" s="25"/>
      <c r="DG158" s="25"/>
      <c r="DH158" s="25"/>
      <c r="DI158" s="25"/>
      <c r="DJ158" s="25"/>
      <c r="DK158" s="25"/>
      <c r="DL158" s="25"/>
      <c r="DM158" s="25"/>
      <c r="DN158" s="25"/>
      <c r="DO158" s="25"/>
      <c r="DP158" s="25"/>
      <c r="DQ158" s="25"/>
      <c r="DR158" s="25"/>
      <c r="DS158" s="25"/>
      <c r="DT158" s="25"/>
      <c r="DU158" s="25"/>
      <c r="DV158" s="25"/>
      <c r="DW158" s="25"/>
      <c r="DX158" s="25"/>
      <c r="DY158" s="25"/>
      <c r="DZ158" s="25"/>
      <c r="EA158" s="25"/>
      <c r="EB158" s="25"/>
      <c r="EC158" s="25"/>
      <c r="ED158" s="25"/>
      <c r="EE158" s="25"/>
      <c r="EF158" s="25"/>
      <c r="EG158" s="25"/>
      <c r="EH158" s="25"/>
      <c r="EI158" s="25"/>
      <c r="EJ158" s="25"/>
      <c r="EK158" s="25"/>
      <c r="EL158" s="25"/>
      <c r="EM158" s="25"/>
      <c r="EN158" s="25"/>
      <c r="EO158" s="25"/>
      <c r="EP158" s="25"/>
      <c r="EQ158" s="25"/>
      <c r="ER158" s="25"/>
      <c r="ES158" s="25"/>
      <c r="ET158" s="25"/>
    </row>
    <row r="159" spans="9:150" x14ac:dyDescent="0.25"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5"/>
      <c r="AL159" s="25"/>
      <c r="AM159" s="25"/>
      <c r="AN159" s="25"/>
      <c r="AO159" s="25"/>
      <c r="AP159" s="25"/>
      <c r="AQ159" s="25"/>
      <c r="AR159" s="25"/>
      <c r="AS159" s="25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  <c r="BF159" s="25"/>
      <c r="BG159" s="25"/>
      <c r="BH159" s="25"/>
      <c r="BI159" s="25"/>
      <c r="BJ159" s="25"/>
      <c r="BK159" s="25"/>
      <c r="BL159" s="25"/>
      <c r="BM159" s="25"/>
      <c r="BN159" s="25"/>
      <c r="BO159" s="25"/>
      <c r="BP159" s="25"/>
      <c r="BQ159" s="25"/>
      <c r="BR159" s="25"/>
      <c r="BS159" s="25"/>
      <c r="BT159" s="25"/>
      <c r="BU159" s="25"/>
      <c r="BV159" s="25"/>
      <c r="BW159" s="25"/>
      <c r="BX159" s="25"/>
      <c r="BY159" s="25"/>
      <c r="BZ159" s="25"/>
      <c r="CA159" s="25"/>
      <c r="CB159" s="25"/>
      <c r="CC159" s="25"/>
      <c r="CD159" s="25"/>
      <c r="CE159" s="25"/>
      <c r="CF159" s="25"/>
      <c r="CG159" s="25"/>
      <c r="CH159" s="25"/>
      <c r="CI159" s="25"/>
      <c r="CJ159" s="25"/>
      <c r="CK159" s="25"/>
      <c r="CL159" s="25"/>
      <c r="CM159" s="25"/>
      <c r="CN159" s="25"/>
      <c r="CO159" s="25"/>
      <c r="CP159" s="25"/>
      <c r="CQ159" s="25"/>
      <c r="CR159" s="25"/>
      <c r="CS159" s="25"/>
      <c r="CT159" s="25"/>
      <c r="CU159" s="25"/>
      <c r="CV159" s="25"/>
      <c r="CW159" s="25"/>
      <c r="CX159" s="25"/>
      <c r="CY159" s="25"/>
      <c r="CZ159" s="25"/>
      <c r="DA159" s="25"/>
      <c r="DB159" s="25"/>
      <c r="DC159" s="25"/>
      <c r="DD159" s="25"/>
      <c r="DE159" s="25"/>
      <c r="DF159" s="25"/>
      <c r="DG159" s="25"/>
      <c r="DH159" s="25"/>
      <c r="DI159" s="25"/>
      <c r="DJ159" s="25"/>
      <c r="DK159" s="25"/>
      <c r="DL159" s="25"/>
      <c r="DM159" s="25"/>
      <c r="DN159" s="25"/>
      <c r="DO159" s="25"/>
      <c r="DP159" s="25"/>
      <c r="DQ159" s="25"/>
      <c r="DR159" s="25"/>
      <c r="DS159" s="25"/>
      <c r="DT159" s="25"/>
      <c r="DU159" s="25"/>
      <c r="DV159" s="25"/>
      <c r="DW159" s="25"/>
      <c r="DX159" s="25"/>
      <c r="DY159" s="25"/>
      <c r="DZ159" s="25"/>
      <c r="EA159" s="25"/>
      <c r="EB159" s="25"/>
      <c r="EC159" s="25"/>
      <c r="ED159" s="25"/>
      <c r="EE159" s="25"/>
      <c r="EF159" s="25"/>
      <c r="EG159" s="25"/>
      <c r="EH159" s="25"/>
      <c r="EI159" s="25"/>
      <c r="EJ159" s="25"/>
      <c r="EK159" s="25"/>
      <c r="EL159" s="25"/>
      <c r="EM159" s="25"/>
      <c r="EN159" s="25"/>
      <c r="EO159" s="25"/>
      <c r="EP159" s="25"/>
      <c r="EQ159" s="25"/>
      <c r="ER159" s="25"/>
      <c r="ES159" s="25"/>
      <c r="ET159" s="25"/>
    </row>
    <row r="160" spans="9:150" x14ac:dyDescent="0.25"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25"/>
      <c r="AM160" s="25"/>
      <c r="AN160" s="25"/>
      <c r="AO160" s="25"/>
      <c r="AP160" s="25"/>
      <c r="AQ160" s="25"/>
      <c r="AR160" s="25"/>
      <c r="AS160" s="25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  <c r="BF160" s="25"/>
      <c r="BG160" s="25"/>
      <c r="BH160" s="25"/>
      <c r="BI160" s="25"/>
      <c r="BJ160" s="25"/>
      <c r="BK160" s="25"/>
      <c r="BL160" s="25"/>
      <c r="BM160" s="25"/>
      <c r="BN160" s="25"/>
      <c r="BO160" s="25"/>
      <c r="BP160" s="25"/>
      <c r="BQ160" s="25"/>
      <c r="BR160" s="25"/>
      <c r="BS160" s="25"/>
      <c r="BT160" s="25"/>
      <c r="BU160" s="25"/>
      <c r="BV160" s="25"/>
      <c r="BW160" s="25"/>
      <c r="BX160" s="25"/>
      <c r="BY160" s="25"/>
      <c r="BZ160" s="25"/>
      <c r="CA160" s="25"/>
      <c r="CB160" s="25"/>
      <c r="CC160" s="25"/>
      <c r="CD160" s="25"/>
      <c r="CE160" s="25"/>
      <c r="CF160" s="25"/>
      <c r="CG160" s="25"/>
      <c r="CH160" s="25"/>
      <c r="CI160" s="25"/>
      <c r="CJ160" s="25"/>
      <c r="CK160" s="25"/>
      <c r="CL160" s="25"/>
      <c r="CM160" s="25"/>
      <c r="CN160" s="25"/>
      <c r="CO160" s="25"/>
      <c r="CP160" s="25"/>
      <c r="CQ160" s="25"/>
      <c r="CR160" s="25"/>
      <c r="CS160" s="25"/>
      <c r="CT160" s="25"/>
      <c r="CU160" s="25"/>
      <c r="CV160" s="25"/>
      <c r="CW160" s="25"/>
      <c r="CX160" s="25"/>
      <c r="CY160" s="25"/>
      <c r="CZ160" s="25"/>
      <c r="DA160" s="25"/>
      <c r="DB160" s="25"/>
      <c r="DC160" s="25"/>
      <c r="DD160" s="25"/>
      <c r="DE160" s="25"/>
      <c r="DF160" s="25"/>
      <c r="DG160" s="25"/>
      <c r="DH160" s="25"/>
      <c r="DI160" s="25"/>
      <c r="DJ160" s="25"/>
      <c r="DK160" s="25"/>
      <c r="DL160" s="25"/>
      <c r="DM160" s="25"/>
      <c r="DN160" s="25"/>
      <c r="DO160" s="25"/>
      <c r="DP160" s="25"/>
      <c r="DQ160" s="25"/>
      <c r="DR160" s="25"/>
      <c r="DS160" s="25"/>
      <c r="DT160" s="25"/>
      <c r="DU160" s="25"/>
      <c r="DV160" s="25"/>
      <c r="DW160" s="25"/>
      <c r="DX160" s="25"/>
      <c r="DY160" s="25"/>
      <c r="DZ160" s="25"/>
      <c r="EA160" s="25"/>
      <c r="EB160" s="25"/>
      <c r="EC160" s="25"/>
      <c r="ED160" s="25"/>
      <c r="EE160" s="25"/>
      <c r="EF160" s="25"/>
      <c r="EG160" s="25"/>
      <c r="EH160" s="25"/>
      <c r="EI160" s="25"/>
      <c r="EJ160" s="25"/>
      <c r="EK160" s="25"/>
      <c r="EL160" s="25"/>
      <c r="EM160" s="25"/>
      <c r="EN160" s="25"/>
      <c r="EO160" s="25"/>
      <c r="EP160" s="25"/>
      <c r="EQ160" s="25"/>
      <c r="ER160" s="25"/>
      <c r="ES160" s="25"/>
      <c r="ET160" s="25"/>
    </row>
    <row r="161" spans="9:150" x14ac:dyDescent="0.25"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25"/>
      <c r="AM161" s="25"/>
      <c r="AN161" s="25"/>
      <c r="AO161" s="25"/>
      <c r="AP161" s="25"/>
      <c r="AQ161" s="25"/>
      <c r="AR161" s="25"/>
      <c r="AS161" s="25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  <c r="BF161" s="25"/>
      <c r="BG161" s="25"/>
      <c r="BH161" s="25"/>
      <c r="BI161" s="25"/>
      <c r="BJ161" s="25"/>
      <c r="BK161" s="25"/>
      <c r="BL161" s="25"/>
      <c r="BM161" s="25"/>
      <c r="BN161" s="25"/>
      <c r="BO161" s="25"/>
      <c r="BP161" s="25"/>
      <c r="BQ161" s="25"/>
      <c r="BR161" s="25"/>
      <c r="BS161" s="25"/>
      <c r="BT161" s="25"/>
      <c r="BU161" s="25"/>
      <c r="BV161" s="25"/>
      <c r="BW161" s="25"/>
      <c r="BX161" s="25"/>
      <c r="BY161" s="25"/>
      <c r="BZ161" s="25"/>
      <c r="CA161" s="25"/>
      <c r="CB161" s="25"/>
      <c r="CC161" s="25"/>
      <c r="CD161" s="25"/>
      <c r="CE161" s="25"/>
      <c r="CF161" s="25"/>
      <c r="CG161" s="25"/>
      <c r="CH161" s="25"/>
      <c r="CI161" s="25"/>
      <c r="CJ161" s="25"/>
      <c r="CK161" s="25"/>
      <c r="CL161" s="25"/>
      <c r="CM161" s="25"/>
      <c r="CN161" s="25"/>
      <c r="CO161" s="25"/>
      <c r="CP161" s="25"/>
      <c r="CQ161" s="25"/>
      <c r="CR161" s="25"/>
      <c r="CS161" s="25"/>
      <c r="CT161" s="25"/>
      <c r="CU161" s="25"/>
      <c r="CV161" s="25"/>
      <c r="CW161" s="25"/>
      <c r="CX161" s="25"/>
      <c r="CY161" s="25"/>
      <c r="CZ161" s="25"/>
      <c r="DA161" s="25"/>
      <c r="DB161" s="25"/>
      <c r="DC161" s="25"/>
      <c r="DD161" s="25"/>
      <c r="DE161" s="25"/>
      <c r="DF161" s="25"/>
      <c r="DG161" s="25"/>
      <c r="DH161" s="25"/>
      <c r="DI161" s="25"/>
      <c r="DJ161" s="25"/>
      <c r="DK161" s="25"/>
      <c r="DL161" s="25"/>
      <c r="DM161" s="25"/>
      <c r="DN161" s="25"/>
      <c r="DO161" s="25"/>
      <c r="DP161" s="25"/>
      <c r="DQ161" s="25"/>
      <c r="DR161" s="25"/>
      <c r="DS161" s="25"/>
      <c r="DT161" s="25"/>
      <c r="DU161" s="25"/>
      <c r="DV161" s="25"/>
      <c r="DW161" s="25"/>
      <c r="DX161" s="25"/>
      <c r="DY161" s="25"/>
      <c r="DZ161" s="25"/>
      <c r="EA161" s="25"/>
      <c r="EB161" s="25"/>
      <c r="EC161" s="25"/>
      <c r="ED161" s="25"/>
      <c r="EE161" s="25"/>
      <c r="EF161" s="25"/>
      <c r="EG161" s="25"/>
      <c r="EH161" s="25"/>
      <c r="EI161" s="25"/>
      <c r="EJ161" s="25"/>
      <c r="EK161" s="25"/>
      <c r="EL161" s="25"/>
      <c r="EM161" s="25"/>
      <c r="EN161" s="25"/>
      <c r="EO161" s="25"/>
      <c r="EP161" s="25"/>
      <c r="EQ161" s="25"/>
      <c r="ER161" s="25"/>
      <c r="ES161" s="25"/>
      <c r="ET161" s="25"/>
    </row>
    <row r="162" spans="9:150" x14ac:dyDescent="0.25"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25"/>
      <c r="AM162" s="25"/>
      <c r="AN162" s="25"/>
      <c r="AO162" s="25"/>
      <c r="AP162" s="25"/>
      <c r="AQ162" s="25"/>
      <c r="AR162" s="25"/>
      <c r="AS162" s="25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  <c r="BF162" s="25"/>
      <c r="BG162" s="25"/>
      <c r="BH162" s="25"/>
      <c r="BI162" s="25"/>
      <c r="BJ162" s="25"/>
      <c r="BK162" s="25"/>
      <c r="BL162" s="25"/>
      <c r="BM162" s="25"/>
      <c r="BN162" s="25"/>
      <c r="BO162" s="25"/>
      <c r="BP162" s="25"/>
      <c r="BQ162" s="25"/>
      <c r="BR162" s="25"/>
      <c r="BS162" s="25"/>
      <c r="BT162" s="25"/>
      <c r="BU162" s="25"/>
      <c r="BV162" s="25"/>
      <c r="BW162" s="25"/>
      <c r="BX162" s="25"/>
      <c r="BY162" s="25"/>
      <c r="BZ162" s="25"/>
      <c r="CA162" s="25"/>
      <c r="CB162" s="25"/>
      <c r="CC162" s="25"/>
      <c r="CD162" s="25"/>
      <c r="CE162" s="25"/>
      <c r="CF162" s="25"/>
      <c r="CG162" s="25"/>
      <c r="CH162" s="25"/>
      <c r="CI162" s="25"/>
      <c r="CJ162" s="25"/>
      <c r="CK162" s="25"/>
      <c r="CL162" s="25"/>
      <c r="CM162" s="25"/>
      <c r="CN162" s="25"/>
      <c r="CO162" s="25"/>
      <c r="CP162" s="25"/>
      <c r="CQ162" s="25"/>
      <c r="CR162" s="25"/>
      <c r="CS162" s="25"/>
      <c r="CT162" s="25"/>
      <c r="CU162" s="25"/>
      <c r="CV162" s="25"/>
      <c r="CW162" s="25"/>
      <c r="CX162" s="25"/>
      <c r="CY162" s="25"/>
      <c r="CZ162" s="25"/>
      <c r="DA162" s="25"/>
      <c r="DB162" s="25"/>
      <c r="DC162" s="25"/>
      <c r="DD162" s="25"/>
      <c r="DE162" s="25"/>
      <c r="DF162" s="25"/>
      <c r="DG162" s="25"/>
      <c r="DH162" s="25"/>
      <c r="DI162" s="25"/>
      <c r="DJ162" s="25"/>
      <c r="DK162" s="25"/>
      <c r="DL162" s="25"/>
      <c r="DM162" s="25"/>
      <c r="DN162" s="25"/>
      <c r="DO162" s="25"/>
      <c r="DP162" s="25"/>
      <c r="DQ162" s="25"/>
      <c r="DR162" s="25"/>
      <c r="DS162" s="25"/>
      <c r="DT162" s="25"/>
      <c r="DU162" s="25"/>
      <c r="DV162" s="25"/>
      <c r="DW162" s="25"/>
      <c r="DX162" s="25"/>
      <c r="DY162" s="25"/>
      <c r="DZ162" s="25"/>
      <c r="EA162" s="25"/>
      <c r="EB162" s="25"/>
      <c r="EC162" s="25"/>
      <c r="ED162" s="25"/>
      <c r="EE162" s="25"/>
      <c r="EF162" s="25"/>
      <c r="EG162" s="25"/>
      <c r="EH162" s="25"/>
      <c r="EI162" s="25"/>
      <c r="EJ162" s="25"/>
      <c r="EK162" s="25"/>
      <c r="EL162" s="25"/>
      <c r="EM162" s="25"/>
      <c r="EN162" s="25"/>
      <c r="EO162" s="25"/>
      <c r="EP162" s="25"/>
      <c r="EQ162" s="25"/>
      <c r="ER162" s="25"/>
      <c r="ES162" s="25"/>
      <c r="ET162" s="25"/>
    </row>
    <row r="163" spans="9:150" x14ac:dyDescent="0.25"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  <c r="AL163" s="25"/>
      <c r="AM163" s="25"/>
      <c r="AN163" s="25"/>
      <c r="AO163" s="25"/>
      <c r="AP163" s="25"/>
      <c r="AQ163" s="25"/>
      <c r="AR163" s="25"/>
      <c r="AS163" s="25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  <c r="BF163" s="25"/>
      <c r="BG163" s="25"/>
      <c r="BH163" s="25"/>
      <c r="BI163" s="25"/>
      <c r="BJ163" s="25"/>
      <c r="BK163" s="25"/>
      <c r="BL163" s="25"/>
      <c r="BM163" s="25"/>
      <c r="BN163" s="25"/>
      <c r="BO163" s="25"/>
      <c r="BP163" s="25"/>
      <c r="BQ163" s="25"/>
      <c r="BR163" s="25"/>
      <c r="BS163" s="25"/>
      <c r="BT163" s="25"/>
      <c r="BU163" s="25"/>
      <c r="BV163" s="25"/>
      <c r="BW163" s="25"/>
      <c r="BX163" s="25"/>
      <c r="BY163" s="25"/>
      <c r="BZ163" s="25"/>
      <c r="CA163" s="25"/>
      <c r="CB163" s="25"/>
      <c r="CC163" s="25"/>
      <c r="CD163" s="25"/>
      <c r="CE163" s="25"/>
      <c r="CF163" s="25"/>
      <c r="CG163" s="25"/>
      <c r="CH163" s="25"/>
      <c r="CI163" s="25"/>
      <c r="CJ163" s="25"/>
      <c r="CK163" s="25"/>
      <c r="CL163" s="25"/>
      <c r="CM163" s="25"/>
      <c r="CN163" s="25"/>
      <c r="CO163" s="25"/>
      <c r="CP163" s="25"/>
      <c r="CQ163" s="25"/>
      <c r="CR163" s="25"/>
      <c r="CS163" s="25"/>
      <c r="CT163" s="25"/>
      <c r="CU163" s="25"/>
      <c r="CV163" s="25"/>
      <c r="CW163" s="25"/>
      <c r="CX163" s="25"/>
      <c r="CY163" s="25"/>
      <c r="CZ163" s="25"/>
      <c r="DA163" s="25"/>
      <c r="DB163" s="25"/>
      <c r="DC163" s="25"/>
      <c r="DD163" s="25"/>
      <c r="DE163" s="25"/>
      <c r="DF163" s="25"/>
      <c r="DG163" s="25"/>
      <c r="DH163" s="25"/>
      <c r="DI163" s="25"/>
      <c r="DJ163" s="25"/>
      <c r="DK163" s="25"/>
      <c r="DL163" s="25"/>
      <c r="DM163" s="25"/>
      <c r="DN163" s="25"/>
      <c r="DO163" s="25"/>
      <c r="DP163" s="25"/>
      <c r="DQ163" s="25"/>
      <c r="DR163" s="25"/>
      <c r="DS163" s="25"/>
      <c r="DT163" s="25"/>
      <c r="DU163" s="25"/>
      <c r="DV163" s="25"/>
      <c r="DW163" s="25"/>
      <c r="DX163" s="25"/>
      <c r="DY163" s="25"/>
      <c r="DZ163" s="25"/>
      <c r="EA163" s="25"/>
      <c r="EB163" s="25"/>
      <c r="EC163" s="25"/>
      <c r="ED163" s="25"/>
      <c r="EE163" s="25"/>
      <c r="EF163" s="25"/>
      <c r="EG163" s="25"/>
      <c r="EH163" s="25"/>
      <c r="EI163" s="25"/>
      <c r="EJ163" s="25"/>
      <c r="EK163" s="25"/>
      <c r="EL163" s="25"/>
      <c r="EM163" s="25"/>
      <c r="EN163" s="25"/>
      <c r="EO163" s="25"/>
      <c r="EP163" s="25"/>
      <c r="EQ163" s="25"/>
      <c r="ER163" s="25"/>
      <c r="ES163" s="25"/>
      <c r="ET163" s="25"/>
    </row>
    <row r="164" spans="9:150" x14ac:dyDescent="0.25"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  <c r="AL164" s="25"/>
      <c r="AM164" s="25"/>
      <c r="AN164" s="25"/>
      <c r="AO164" s="25"/>
      <c r="AP164" s="25"/>
      <c r="AQ164" s="25"/>
      <c r="AR164" s="25"/>
      <c r="AS164" s="25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  <c r="BF164" s="25"/>
      <c r="BG164" s="25"/>
      <c r="BH164" s="25"/>
      <c r="BI164" s="25"/>
      <c r="BJ164" s="25"/>
      <c r="BK164" s="25"/>
      <c r="BL164" s="25"/>
      <c r="BM164" s="25"/>
      <c r="BN164" s="25"/>
      <c r="BO164" s="25"/>
      <c r="BP164" s="25"/>
      <c r="BQ164" s="25"/>
      <c r="BR164" s="25"/>
      <c r="BS164" s="25"/>
      <c r="BT164" s="25"/>
      <c r="BU164" s="25"/>
      <c r="BV164" s="25"/>
      <c r="BW164" s="25"/>
      <c r="BX164" s="25"/>
      <c r="BY164" s="25"/>
      <c r="BZ164" s="25"/>
      <c r="CA164" s="25"/>
      <c r="CB164" s="25"/>
      <c r="CC164" s="25"/>
      <c r="CD164" s="25"/>
      <c r="CE164" s="25"/>
      <c r="CF164" s="25"/>
      <c r="CG164" s="25"/>
      <c r="CH164" s="25"/>
      <c r="CI164" s="25"/>
      <c r="CJ164" s="25"/>
      <c r="CK164" s="25"/>
      <c r="CL164" s="25"/>
      <c r="CM164" s="25"/>
      <c r="CN164" s="25"/>
      <c r="CO164" s="25"/>
      <c r="CP164" s="25"/>
      <c r="CQ164" s="25"/>
      <c r="CR164" s="25"/>
      <c r="CS164" s="25"/>
      <c r="CT164" s="25"/>
      <c r="CU164" s="25"/>
      <c r="CV164" s="25"/>
      <c r="CW164" s="25"/>
      <c r="CX164" s="25"/>
      <c r="CY164" s="25"/>
      <c r="CZ164" s="25"/>
      <c r="DA164" s="25"/>
      <c r="DB164" s="25"/>
      <c r="DC164" s="25"/>
      <c r="DD164" s="25"/>
      <c r="DE164" s="25"/>
      <c r="DF164" s="25"/>
      <c r="DG164" s="25"/>
      <c r="DH164" s="25"/>
      <c r="DI164" s="25"/>
      <c r="DJ164" s="25"/>
      <c r="DK164" s="25"/>
      <c r="DL164" s="25"/>
      <c r="DM164" s="25"/>
      <c r="DN164" s="25"/>
      <c r="DO164" s="25"/>
      <c r="DP164" s="25"/>
      <c r="DQ164" s="25"/>
      <c r="DR164" s="25"/>
      <c r="DS164" s="25"/>
      <c r="DT164" s="25"/>
      <c r="DU164" s="25"/>
      <c r="DV164" s="25"/>
      <c r="DW164" s="25"/>
      <c r="DX164" s="25"/>
      <c r="DY164" s="25"/>
      <c r="DZ164" s="25"/>
      <c r="EA164" s="25"/>
      <c r="EB164" s="25"/>
      <c r="EC164" s="25"/>
      <c r="ED164" s="25"/>
      <c r="EE164" s="25"/>
      <c r="EF164" s="25"/>
      <c r="EG164" s="25"/>
      <c r="EH164" s="25"/>
      <c r="EI164" s="25"/>
      <c r="EJ164" s="25"/>
      <c r="EK164" s="25"/>
      <c r="EL164" s="25"/>
      <c r="EM164" s="25"/>
      <c r="EN164" s="25"/>
      <c r="EO164" s="25"/>
      <c r="EP164" s="25"/>
      <c r="EQ164" s="25"/>
      <c r="ER164" s="25"/>
      <c r="ES164" s="25"/>
      <c r="ET164" s="25"/>
    </row>
    <row r="165" spans="9:150" x14ac:dyDescent="0.25"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  <c r="AL165" s="25"/>
      <c r="AM165" s="25"/>
      <c r="AN165" s="25"/>
      <c r="AO165" s="25"/>
      <c r="AP165" s="25"/>
      <c r="AQ165" s="25"/>
      <c r="AR165" s="25"/>
      <c r="AS165" s="25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  <c r="BF165" s="25"/>
      <c r="BG165" s="25"/>
      <c r="BH165" s="25"/>
      <c r="BI165" s="25"/>
      <c r="BJ165" s="25"/>
      <c r="BK165" s="25"/>
      <c r="BL165" s="25"/>
      <c r="BM165" s="25"/>
      <c r="BN165" s="25"/>
      <c r="BO165" s="25"/>
      <c r="BP165" s="25"/>
      <c r="BQ165" s="25"/>
      <c r="BR165" s="25"/>
      <c r="BS165" s="25"/>
      <c r="BT165" s="25"/>
      <c r="BU165" s="25"/>
      <c r="BV165" s="25"/>
      <c r="BW165" s="25"/>
      <c r="BX165" s="25"/>
      <c r="BY165" s="25"/>
      <c r="BZ165" s="25"/>
      <c r="CA165" s="25"/>
      <c r="CB165" s="25"/>
      <c r="CC165" s="25"/>
      <c r="CD165" s="25"/>
      <c r="CE165" s="25"/>
      <c r="CF165" s="25"/>
      <c r="CG165" s="25"/>
      <c r="CH165" s="25"/>
      <c r="CI165" s="25"/>
      <c r="CJ165" s="25"/>
      <c r="CK165" s="25"/>
      <c r="CL165" s="25"/>
      <c r="CM165" s="25"/>
      <c r="CN165" s="25"/>
      <c r="CO165" s="25"/>
      <c r="CP165" s="25"/>
      <c r="CQ165" s="25"/>
      <c r="CR165" s="25"/>
      <c r="CS165" s="25"/>
      <c r="CT165" s="25"/>
      <c r="CU165" s="25"/>
      <c r="CV165" s="25"/>
      <c r="CW165" s="25"/>
      <c r="CX165" s="25"/>
      <c r="CY165" s="25"/>
      <c r="CZ165" s="25"/>
      <c r="DA165" s="25"/>
      <c r="DB165" s="25"/>
      <c r="DC165" s="25"/>
      <c r="DD165" s="25"/>
      <c r="DE165" s="25"/>
      <c r="DF165" s="25"/>
      <c r="DG165" s="25"/>
      <c r="DH165" s="25"/>
      <c r="DI165" s="25"/>
      <c r="DJ165" s="25"/>
      <c r="DK165" s="25"/>
      <c r="DL165" s="25"/>
      <c r="DM165" s="25"/>
      <c r="DN165" s="25"/>
      <c r="DO165" s="25"/>
      <c r="DP165" s="25"/>
      <c r="DQ165" s="25"/>
      <c r="DR165" s="25"/>
      <c r="DS165" s="25"/>
      <c r="DT165" s="25"/>
      <c r="DU165" s="25"/>
      <c r="DV165" s="25"/>
      <c r="DW165" s="25"/>
      <c r="DX165" s="25"/>
      <c r="DY165" s="25"/>
      <c r="DZ165" s="25"/>
      <c r="EA165" s="25"/>
      <c r="EB165" s="25"/>
      <c r="EC165" s="25"/>
      <c r="ED165" s="25"/>
      <c r="EE165" s="25"/>
      <c r="EF165" s="25"/>
      <c r="EG165" s="25"/>
      <c r="EH165" s="25"/>
      <c r="EI165" s="25"/>
      <c r="EJ165" s="25"/>
      <c r="EK165" s="25"/>
      <c r="EL165" s="25"/>
      <c r="EM165" s="25"/>
      <c r="EN165" s="25"/>
      <c r="EO165" s="25"/>
      <c r="EP165" s="25"/>
      <c r="EQ165" s="25"/>
      <c r="ER165" s="25"/>
      <c r="ES165" s="25"/>
      <c r="ET165" s="25"/>
    </row>
    <row r="166" spans="9:150" x14ac:dyDescent="0.25"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5"/>
      <c r="AL166" s="25"/>
      <c r="AM166" s="25"/>
      <c r="AN166" s="25"/>
      <c r="AO166" s="25"/>
      <c r="AP166" s="25"/>
      <c r="AQ166" s="25"/>
      <c r="AR166" s="25"/>
      <c r="AS166" s="25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  <c r="BF166" s="25"/>
      <c r="BG166" s="25"/>
      <c r="BH166" s="25"/>
      <c r="BI166" s="25"/>
      <c r="BJ166" s="25"/>
      <c r="BK166" s="25"/>
      <c r="BL166" s="25"/>
      <c r="BM166" s="25"/>
      <c r="BN166" s="25"/>
      <c r="BO166" s="25"/>
      <c r="BP166" s="25"/>
      <c r="BQ166" s="25"/>
      <c r="BR166" s="25"/>
      <c r="BS166" s="25"/>
      <c r="BT166" s="25"/>
      <c r="BU166" s="25"/>
      <c r="BV166" s="25"/>
      <c r="BW166" s="25"/>
      <c r="BX166" s="25"/>
      <c r="BY166" s="25"/>
      <c r="BZ166" s="25"/>
      <c r="CA166" s="25"/>
      <c r="CB166" s="25"/>
      <c r="CC166" s="25"/>
      <c r="CD166" s="25"/>
      <c r="CE166" s="25"/>
      <c r="CF166" s="25"/>
      <c r="CG166" s="25"/>
      <c r="CH166" s="25"/>
      <c r="CI166" s="25"/>
      <c r="CJ166" s="25"/>
      <c r="CK166" s="25"/>
      <c r="CL166" s="25"/>
      <c r="CM166" s="25"/>
      <c r="CN166" s="25"/>
      <c r="CO166" s="25"/>
      <c r="CP166" s="25"/>
      <c r="CQ166" s="25"/>
      <c r="CR166" s="25"/>
      <c r="CS166" s="25"/>
      <c r="CT166" s="25"/>
      <c r="CU166" s="25"/>
      <c r="CV166" s="25"/>
      <c r="CW166" s="25"/>
      <c r="CX166" s="25"/>
      <c r="CY166" s="25"/>
      <c r="CZ166" s="25"/>
      <c r="DA166" s="25"/>
      <c r="DB166" s="25"/>
      <c r="DC166" s="25"/>
      <c r="DD166" s="25"/>
      <c r="DE166" s="25"/>
      <c r="DF166" s="25"/>
      <c r="DG166" s="25"/>
      <c r="DH166" s="25"/>
      <c r="DI166" s="25"/>
      <c r="DJ166" s="25"/>
      <c r="DK166" s="25"/>
      <c r="DL166" s="25"/>
      <c r="DM166" s="25"/>
      <c r="DN166" s="25"/>
      <c r="DO166" s="25"/>
      <c r="DP166" s="25"/>
      <c r="DQ166" s="25"/>
      <c r="DR166" s="25"/>
      <c r="DS166" s="25"/>
      <c r="DT166" s="25"/>
      <c r="DU166" s="25"/>
      <c r="DV166" s="25"/>
      <c r="DW166" s="25"/>
      <c r="DX166" s="25"/>
      <c r="DY166" s="25"/>
      <c r="DZ166" s="25"/>
      <c r="EA166" s="25"/>
      <c r="EB166" s="25"/>
      <c r="EC166" s="25"/>
      <c r="ED166" s="25"/>
      <c r="EE166" s="25"/>
      <c r="EF166" s="25"/>
      <c r="EG166" s="25"/>
      <c r="EH166" s="25"/>
      <c r="EI166" s="25"/>
      <c r="EJ166" s="25"/>
      <c r="EK166" s="25"/>
      <c r="EL166" s="25"/>
      <c r="EM166" s="25"/>
      <c r="EN166" s="25"/>
      <c r="EO166" s="25"/>
      <c r="EP166" s="25"/>
      <c r="EQ166" s="25"/>
      <c r="ER166" s="25"/>
      <c r="ES166" s="25"/>
      <c r="ET166" s="25"/>
    </row>
    <row r="167" spans="9:150" x14ac:dyDescent="0.25"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5"/>
      <c r="AL167" s="25"/>
      <c r="AM167" s="25"/>
      <c r="AN167" s="25"/>
      <c r="AO167" s="25"/>
      <c r="AP167" s="25"/>
      <c r="AQ167" s="25"/>
      <c r="AR167" s="25"/>
      <c r="AS167" s="25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  <c r="BF167" s="25"/>
      <c r="BG167" s="25"/>
      <c r="BH167" s="25"/>
      <c r="BI167" s="25"/>
      <c r="BJ167" s="25"/>
      <c r="BK167" s="25"/>
      <c r="BL167" s="25"/>
      <c r="BM167" s="25"/>
      <c r="BN167" s="25"/>
      <c r="BO167" s="25"/>
      <c r="BP167" s="25"/>
      <c r="BQ167" s="25"/>
      <c r="BR167" s="25"/>
      <c r="BS167" s="25"/>
      <c r="BT167" s="25"/>
      <c r="BU167" s="25"/>
      <c r="BV167" s="25"/>
      <c r="BW167" s="25"/>
      <c r="BX167" s="25"/>
      <c r="BY167" s="25"/>
      <c r="BZ167" s="25"/>
      <c r="CA167" s="25"/>
      <c r="CB167" s="25"/>
      <c r="CC167" s="25"/>
      <c r="CD167" s="25"/>
      <c r="CE167" s="25"/>
      <c r="CF167" s="25"/>
      <c r="CG167" s="25"/>
      <c r="CH167" s="25"/>
      <c r="CI167" s="25"/>
      <c r="CJ167" s="25"/>
      <c r="CK167" s="25"/>
      <c r="CL167" s="25"/>
      <c r="CM167" s="25"/>
      <c r="CN167" s="25"/>
      <c r="CO167" s="25"/>
      <c r="CP167" s="25"/>
      <c r="CQ167" s="25"/>
      <c r="CR167" s="25"/>
      <c r="CS167" s="25"/>
      <c r="CT167" s="25"/>
      <c r="CU167" s="25"/>
      <c r="CV167" s="25"/>
      <c r="CW167" s="25"/>
      <c r="CX167" s="25"/>
      <c r="CY167" s="25"/>
      <c r="CZ167" s="25"/>
      <c r="DA167" s="25"/>
      <c r="DB167" s="25"/>
      <c r="DC167" s="25"/>
      <c r="DD167" s="25"/>
      <c r="DE167" s="25"/>
      <c r="DF167" s="25"/>
      <c r="DG167" s="25"/>
      <c r="DH167" s="25"/>
      <c r="DI167" s="25"/>
      <c r="DJ167" s="25"/>
      <c r="DK167" s="25"/>
      <c r="DL167" s="25"/>
      <c r="DM167" s="25"/>
      <c r="DN167" s="25"/>
      <c r="DO167" s="25"/>
      <c r="DP167" s="25"/>
      <c r="DQ167" s="25"/>
      <c r="DR167" s="25"/>
      <c r="DS167" s="25"/>
      <c r="DT167" s="25"/>
      <c r="DU167" s="25"/>
      <c r="DV167" s="25"/>
      <c r="DW167" s="25"/>
      <c r="DX167" s="25"/>
      <c r="DY167" s="25"/>
      <c r="DZ167" s="25"/>
      <c r="EA167" s="25"/>
      <c r="EB167" s="25"/>
      <c r="EC167" s="25"/>
      <c r="ED167" s="25"/>
      <c r="EE167" s="25"/>
      <c r="EF167" s="25"/>
      <c r="EG167" s="25"/>
      <c r="EH167" s="25"/>
      <c r="EI167" s="25"/>
      <c r="EJ167" s="25"/>
      <c r="EK167" s="25"/>
      <c r="EL167" s="25"/>
      <c r="EM167" s="25"/>
      <c r="EN167" s="25"/>
      <c r="EO167" s="25"/>
      <c r="EP167" s="25"/>
      <c r="EQ167" s="25"/>
      <c r="ER167" s="25"/>
      <c r="ES167" s="25"/>
      <c r="ET167" s="25"/>
    </row>
    <row r="168" spans="9:150" x14ac:dyDescent="0.25"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  <c r="AL168" s="25"/>
      <c r="AM168" s="25"/>
      <c r="AN168" s="25"/>
      <c r="AO168" s="25"/>
      <c r="AP168" s="25"/>
      <c r="AQ168" s="25"/>
      <c r="AR168" s="25"/>
      <c r="AS168" s="25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  <c r="BF168" s="25"/>
      <c r="BG168" s="25"/>
      <c r="BH168" s="25"/>
      <c r="BI168" s="25"/>
      <c r="BJ168" s="25"/>
      <c r="BK168" s="25"/>
      <c r="BL168" s="25"/>
      <c r="BM168" s="25"/>
      <c r="BN168" s="25"/>
      <c r="BO168" s="25"/>
      <c r="BP168" s="25"/>
      <c r="BQ168" s="25"/>
      <c r="BR168" s="25"/>
      <c r="BS168" s="25"/>
      <c r="BT168" s="25"/>
      <c r="BU168" s="25"/>
      <c r="BV168" s="25"/>
      <c r="BW168" s="25"/>
      <c r="BX168" s="25"/>
      <c r="BY168" s="25"/>
      <c r="BZ168" s="25"/>
      <c r="CA168" s="25"/>
      <c r="CB168" s="25"/>
      <c r="CC168" s="25"/>
      <c r="CD168" s="25"/>
      <c r="CE168" s="25"/>
      <c r="CF168" s="25"/>
      <c r="CG168" s="25"/>
      <c r="CH168" s="25"/>
      <c r="CI168" s="25"/>
      <c r="CJ168" s="25"/>
      <c r="CK168" s="25"/>
      <c r="CL168" s="25"/>
      <c r="CM168" s="25"/>
      <c r="CN168" s="25"/>
      <c r="CO168" s="25"/>
      <c r="CP168" s="25"/>
      <c r="CQ168" s="25"/>
      <c r="CR168" s="25"/>
      <c r="CS168" s="25"/>
      <c r="CT168" s="25"/>
      <c r="CU168" s="25"/>
      <c r="CV168" s="25"/>
      <c r="CW168" s="25"/>
      <c r="CX168" s="25"/>
      <c r="CY168" s="25"/>
      <c r="CZ168" s="25"/>
      <c r="DA168" s="25"/>
      <c r="DB168" s="25"/>
      <c r="DC168" s="25"/>
      <c r="DD168" s="25"/>
      <c r="DE168" s="25"/>
      <c r="DF168" s="25"/>
      <c r="DG168" s="25"/>
      <c r="DH168" s="25"/>
      <c r="DI168" s="25"/>
      <c r="DJ168" s="25"/>
      <c r="DK168" s="25"/>
      <c r="DL168" s="25"/>
      <c r="DM168" s="25"/>
      <c r="DN168" s="25"/>
      <c r="DO168" s="25"/>
      <c r="DP168" s="25"/>
      <c r="DQ168" s="25"/>
      <c r="DR168" s="25"/>
      <c r="DS168" s="25"/>
      <c r="DT168" s="25"/>
      <c r="DU168" s="25"/>
      <c r="DV168" s="25"/>
      <c r="DW168" s="25"/>
      <c r="DX168" s="25"/>
      <c r="DY168" s="25"/>
      <c r="DZ168" s="25"/>
      <c r="EA168" s="25"/>
      <c r="EB168" s="25"/>
      <c r="EC168" s="25"/>
      <c r="ED168" s="25"/>
      <c r="EE168" s="25"/>
      <c r="EF168" s="25"/>
      <c r="EG168" s="25"/>
      <c r="EH168" s="25"/>
      <c r="EI168" s="25"/>
      <c r="EJ168" s="25"/>
      <c r="EK168" s="25"/>
      <c r="EL168" s="25"/>
      <c r="EM168" s="25"/>
      <c r="EN168" s="25"/>
      <c r="EO168" s="25"/>
      <c r="EP168" s="25"/>
      <c r="EQ168" s="25"/>
      <c r="ER168" s="25"/>
      <c r="ES168" s="25"/>
      <c r="ET168" s="25"/>
    </row>
    <row r="169" spans="9:150" x14ac:dyDescent="0.25"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  <c r="AL169" s="25"/>
      <c r="AM169" s="25"/>
      <c r="AN169" s="25"/>
      <c r="AO169" s="25"/>
      <c r="AP169" s="25"/>
      <c r="AQ169" s="25"/>
      <c r="AR169" s="25"/>
      <c r="AS169" s="25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  <c r="BF169" s="25"/>
      <c r="BG169" s="25"/>
      <c r="BH169" s="25"/>
      <c r="BI169" s="25"/>
      <c r="BJ169" s="25"/>
      <c r="BK169" s="25"/>
      <c r="BL169" s="25"/>
      <c r="BM169" s="25"/>
      <c r="BN169" s="25"/>
      <c r="BO169" s="25"/>
      <c r="BP169" s="25"/>
      <c r="BQ169" s="25"/>
      <c r="BR169" s="25"/>
      <c r="BS169" s="25"/>
      <c r="BT169" s="25"/>
      <c r="BU169" s="25"/>
      <c r="BV169" s="25"/>
      <c r="BW169" s="25"/>
      <c r="BX169" s="25"/>
      <c r="BY169" s="25"/>
      <c r="BZ169" s="25"/>
      <c r="CA169" s="25"/>
      <c r="CB169" s="25"/>
      <c r="CC169" s="25"/>
      <c r="CD169" s="25"/>
      <c r="CE169" s="25"/>
      <c r="CF169" s="25"/>
      <c r="CG169" s="25"/>
      <c r="CH169" s="25"/>
      <c r="CI169" s="25"/>
      <c r="CJ169" s="25"/>
      <c r="CK169" s="25"/>
      <c r="CL169" s="25"/>
      <c r="CM169" s="25"/>
      <c r="CN169" s="25"/>
      <c r="CO169" s="25"/>
      <c r="CP169" s="25"/>
      <c r="CQ169" s="25"/>
      <c r="CR169" s="25"/>
      <c r="CS169" s="25"/>
      <c r="CT169" s="25"/>
      <c r="CU169" s="25"/>
      <c r="CV169" s="25"/>
      <c r="CW169" s="25"/>
      <c r="CX169" s="25"/>
      <c r="CY169" s="25"/>
      <c r="CZ169" s="25"/>
      <c r="DA169" s="25"/>
      <c r="DB169" s="25"/>
      <c r="DC169" s="25"/>
      <c r="DD169" s="25"/>
      <c r="DE169" s="25"/>
      <c r="DF169" s="25"/>
      <c r="DG169" s="25"/>
      <c r="DH169" s="25"/>
      <c r="DI169" s="25"/>
      <c r="DJ169" s="25"/>
      <c r="DK169" s="25"/>
      <c r="DL169" s="25"/>
      <c r="DM169" s="25"/>
      <c r="DN169" s="25"/>
      <c r="DO169" s="25"/>
      <c r="DP169" s="25"/>
      <c r="DQ169" s="25"/>
      <c r="DR169" s="25"/>
      <c r="DS169" s="25"/>
      <c r="DT169" s="25"/>
      <c r="DU169" s="25"/>
      <c r="DV169" s="25"/>
      <c r="DW169" s="25"/>
      <c r="DX169" s="25"/>
      <c r="DY169" s="25"/>
      <c r="DZ169" s="25"/>
      <c r="EA169" s="25"/>
      <c r="EB169" s="25"/>
      <c r="EC169" s="25"/>
      <c r="ED169" s="25"/>
      <c r="EE169" s="25"/>
      <c r="EF169" s="25"/>
      <c r="EG169" s="25"/>
      <c r="EH169" s="25"/>
      <c r="EI169" s="25"/>
      <c r="EJ169" s="25"/>
      <c r="EK169" s="25"/>
      <c r="EL169" s="25"/>
      <c r="EM169" s="25"/>
      <c r="EN169" s="25"/>
      <c r="EO169" s="25"/>
      <c r="EP169" s="25"/>
      <c r="EQ169" s="25"/>
      <c r="ER169" s="25"/>
      <c r="ES169" s="25"/>
      <c r="ET169" s="25"/>
    </row>
    <row r="170" spans="9:150" x14ac:dyDescent="0.25"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25"/>
      <c r="AM170" s="25"/>
      <c r="AN170" s="25"/>
      <c r="AO170" s="25"/>
      <c r="AP170" s="25"/>
      <c r="AQ170" s="25"/>
      <c r="AR170" s="25"/>
      <c r="AS170" s="25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  <c r="BF170" s="25"/>
      <c r="BG170" s="25"/>
      <c r="BH170" s="25"/>
      <c r="BI170" s="25"/>
      <c r="BJ170" s="25"/>
      <c r="BK170" s="25"/>
      <c r="BL170" s="25"/>
      <c r="BM170" s="25"/>
      <c r="BN170" s="25"/>
      <c r="BO170" s="25"/>
      <c r="BP170" s="25"/>
      <c r="BQ170" s="25"/>
      <c r="BR170" s="25"/>
      <c r="BS170" s="25"/>
      <c r="BT170" s="25"/>
      <c r="BU170" s="25"/>
      <c r="BV170" s="25"/>
      <c r="BW170" s="25"/>
      <c r="BX170" s="25"/>
      <c r="BY170" s="25"/>
      <c r="BZ170" s="25"/>
      <c r="CA170" s="25"/>
      <c r="CB170" s="25"/>
      <c r="CC170" s="25"/>
      <c r="CD170" s="25"/>
      <c r="CE170" s="25"/>
      <c r="CF170" s="25"/>
      <c r="CG170" s="25"/>
      <c r="CH170" s="25"/>
      <c r="CI170" s="25"/>
      <c r="CJ170" s="25"/>
      <c r="CK170" s="25"/>
      <c r="CL170" s="25"/>
      <c r="CM170" s="25"/>
      <c r="CN170" s="25"/>
      <c r="CO170" s="25"/>
      <c r="CP170" s="25"/>
      <c r="CQ170" s="25"/>
      <c r="CR170" s="25"/>
      <c r="CS170" s="25"/>
      <c r="CT170" s="25"/>
      <c r="CU170" s="25"/>
      <c r="CV170" s="25"/>
      <c r="CW170" s="25"/>
      <c r="CX170" s="25"/>
      <c r="CY170" s="25"/>
      <c r="CZ170" s="25"/>
      <c r="DA170" s="25"/>
      <c r="DB170" s="25"/>
      <c r="DC170" s="25"/>
      <c r="DD170" s="25"/>
      <c r="DE170" s="25"/>
      <c r="DF170" s="25"/>
      <c r="DG170" s="25"/>
      <c r="DH170" s="25"/>
      <c r="DI170" s="25"/>
      <c r="DJ170" s="25"/>
      <c r="DK170" s="25"/>
      <c r="DL170" s="25"/>
      <c r="DM170" s="25"/>
      <c r="DN170" s="25"/>
      <c r="DO170" s="25"/>
      <c r="DP170" s="25"/>
      <c r="DQ170" s="25"/>
      <c r="DR170" s="25"/>
      <c r="DS170" s="25"/>
      <c r="DT170" s="25"/>
      <c r="DU170" s="25"/>
      <c r="DV170" s="25"/>
      <c r="DW170" s="25"/>
      <c r="DX170" s="25"/>
      <c r="DY170" s="25"/>
      <c r="DZ170" s="25"/>
      <c r="EA170" s="25"/>
      <c r="EB170" s="25"/>
      <c r="EC170" s="25"/>
      <c r="ED170" s="25"/>
      <c r="EE170" s="25"/>
      <c r="EF170" s="25"/>
      <c r="EG170" s="25"/>
      <c r="EH170" s="25"/>
      <c r="EI170" s="25"/>
      <c r="EJ170" s="25"/>
      <c r="EK170" s="25"/>
      <c r="EL170" s="25"/>
      <c r="EM170" s="25"/>
      <c r="EN170" s="25"/>
      <c r="EO170" s="25"/>
      <c r="EP170" s="25"/>
      <c r="EQ170" s="25"/>
      <c r="ER170" s="25"/>
      <c r="ES170" s="25"/>
      <c r="ET170" s="25"/>
    </row>
    <row r="171" spans="9:150" x14ac:dyDescent="0.25"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25"/>
      <c r="AM171" s="25"/>
      <c r="AN171" s="25"/>
      <c r="AO171" s="25"/>
      <c r="AP171" s="25"/>
      <c r="AQ171" s="25"/>
      <c r="AR171" s="25"/>
      <c r="AS171" s="25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  <c r="BF171" s="25"/>
      <c r="BG171" s="25"/>
      <c r="BH171" s="25"/>
      <c r="BI171" s="25"/>
      <c r="BJ171" s="25"/>
      <c r="BK171" s="25"/>
      <c r="BL171" s="25"/>
      <c r="BM171" s="25"/>
      <c r="BN171" s="25"/>
      <c r="BO171" s="25"/>
      <c r="BP171" s="25"/>
      <c r="BQ171" s="25"/>
      <c r="BR171" s="25"/>
      <c r="BS171" s="25"/>
      <c r="BT171" s="25"/>
      <c r="BU171" s="25"/>
      <c r="BV171" s="25"/>
      <c r="BW171" s="25"/>
      <c r="BX171" s="25"/>
      <c r="BY171" s="25"/>
      <c r="BZ171" s="25"/>
      <c r="CA171" s="25"/>
      <c r="CB171" s="25"/>
      <c r="CC171" s="25"/>
      <c r="CD171" s="25"/>
      <c r="CE171" s="25"/>
      <c r="CF171" s="25"/>
      <c r="CG171" s="25"/>
      <c r="CH171" s="25"/>
      <c r="CI171" s="25"/>
      <c r="CJ171" s="25"/>
      <c r="CK171" s="25"/>
      <c r="CL171" s="25"/>
      <c r="CM171" s="25"/>
      <c r="CN171" s="25"/>
      <c r="CO171" s="25"/>
      <c r="CP171" s="25"/>
      <c r="CQ171" s="25"/>
      <c r="CR171" s="25"/>
      <c r="CS171" s="25"/>
      <c r="CT171" s="25"/>
      <c r="CU171" s="25"/>
      <c r="CV171" s="25"/>
      <c r="CW171" s="25"/>
      <c r="CX171" s="25"/>
      <c r="CY171" s="25"/>
      <c r="CZ171" s="25"/>
      <c r="DA171" s="25"/>
      <c r="DB171" s="25"/>
      <c r="DC171" s="25"/>
      <c r="DD171" s="25"/>
      <c r="DE171" s="25"/>
      <c r="DF171" s="25"/>
      <c r="DG171" s="25"/>
      <c r="DH171" s="25"/>
      <c r="DI171" s="25"/>
      <c r="DJ171" s="25"/>
      <c r="DK171" s="25"/>
      <c r="DL171" s="25"/>
      <c r="DM171" s="25"/>
      <c r="DN171" s="25"/>
      <c r="DO171" s="25"/>
      <c r="DP171" s="25"/>
      <c r="DQ171" s="25"/>
      <c r="DR171" s="25"/>
      <c r="DS171" s="25"/>
      <c r="DT171" s="25"/>
      <c r="DU171" s="25"/>
      <c r="DV171" s="25"/>
      <c r="DW171" s="25"/>
      <c r="DX171" s="25"/>
      <c r="DY171" s="25"/>
      <c r="DZ171" s="25"/>
      <c r="EA171" s="25"/>
      <c r="EB171" s="25"/>
      <c r="EC171" s="25"/>
      <c r="ED171" s="25"/>
      <c r="EE171" s="25"/>
      <c r="EF171" s="25"/>
      <c r="EG171" s="25"/>
      <c r="EH171" s="25"/>
      <c r="EI171" s="25"/>
      <c r="EJ171" s="25"/>
      <c r="EK171" s="25"/>
      <c r="EL171" s="25"/>
      <c r="EM171" s="25"/>
      <c r="EN171" s="25"/>
      <c r="EO171" s="25"/>
      <c r="EP171" s="25"/>
      <c r="EQ171" s="25"/>
      <c r="ER171" s="25"/>
      <c r="ES171" s="25"/>
      <c r="ET171" s="25"/>
    </row>
    <row r="172" spans="9:150" x14ac:dyDescent="0.25"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25"/>
      <c r="AM172" s="25"/>
      <c r="AN172" s="25"/>
      <c r="AO172" s="25"/>
      <c r="AP172" s="25"/>
      <c r="AQ172" s="25"/>
      <c r="AR172" s="25"/>
      <c r="AS172" s="25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  <c r="BF172" s="25"/>
      <c r="BG172" s="25"/>
      <c r="BH172" s="25"/>
      <c r="BI172" s="25"/>
      <c r="BJ172" s="25"/>
      <c r="BK172" s="25"/>
      <c r="BL172" s="25"/>
      <c r="BM172" s="25"/>
      <c r="BN172" s="25"/>
      <c r="BO172" s="25"/>
      <c r="BP172" s="25"/>
      <c r="BQ172" s="25"/>
      <c r="BR172" s="25"/>
      <c r="BS172" s="25"/>
      <c r="BT172" s="25"/>
      <c r="BU172" s="25"/>
      <c r="BV172" s="25"/>
      <c r="BW172" s="25"/>
      <c r="BX172" s="25"/>
      <c r="BY172" s="25"/>
      <c r="BZ172" s="25"/>
      <c r="CA172" s="25"/>
      <c r="CB172" s="25"/>
      <c r="CC172" s="25"/>
      <c r="CD172" s="25"/>
      <c r="CE172" s="25"/>
      <c r="CF172" s="25"/>
      <c r="CG172" s="25"/>
      <c r="CH172" s="25"/>
      <c r="CI172" s="25"/>
      <c r="CJ172" s="25"/>
      <c r="CK172" s="25"/>
      <c r="CL172" s="25"/>
      <c r="CM172" s="25"/>
      <c r="CN172" s="25"/>
      <c r="CO172" s="25"/>
      <c r="CP172" s="25"/>
      <c r="CQ172" s="25"/>
      <c r="CR172" s="25"/>
      <c r="CS172" s="25"/>
      <c r="CT172" s="25"/>
      <c r="CU172" s="25"/>
      <c r="CV172" s="25"/>
      <c r="CW172" s="25"/>
      <c r="CX172" s="25"/>
      <c r="CY172" s="25"/>
      <c r="CZ172" s="25"/>
      <c r="DA172" s="25"/>
      <c r="DB172" s="25"/>
      <c r="DC172" s="25"/>
      <c r="DD172" s="25"/>
      <c r="DE172" s="25"/>
      <c r="DF172" s="25"/>
      <c r="DG172" s="25"/>
      <c r="DH172" s="25"/>
      <c r="DI172" s="25"/>
      <c r="DJ172" s="25"/>
      <c r="DK172" s="25"/>
      <c r="DL172" s="25"/>
      <c r="DM172" s="25"/>
      <c r="DN172" s="25"/>
      <c r="DO172" s="25"/>
      <c r="DP172" s="25"/>
      <c r="DQ172" s="25"/>
      <c r="DR172" s="25"/>
      <c r="DS172" s="25"/>
      <c r="DT172" s="25"/>
      <c r="DU172" s="25"/>
      <c r="DV172" s="25"/>
      <c r="DW172" s="25"/>
      <c r="DX172" s="25"/>
      <c r="DY172" s="25"/>
      <c r="DZ172" s="25"/>
      <c r="EA172" s="25"/>
      <c r="EB172" s="25"/>
      <c r="EC172" s="25"/>
      <c r="ED172" s="25"/>
      <c r="EE172" s="25"/>
      <c r="EF172" s="25"/>
      <c r="EG172" s="25"/>
      <c r="EH172" s="25"/>
      <c r="EI172" s="25"/>
      <c r="EJ172" s="25"/>
      <c r="EK172" s="25"/>
      <c r="EL172" s="25"/>
      <c r="EM172" s="25"/>
      <c r="EN172" s="25"/>
      <c r="EO172" s="25"/>
      <c r="EP172" s="25"/>
      <c r="EQ172" s="25"/>
      <c r="ER172" s="25"/>
      <c r="ES172" s="25"/>
      <c r="ET172" s="25"/>
    </row>
    <row r="173" spans="9:150" x14ac:dyDescent="0.25"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5"/>
      <c r="AL173" s="25"/>
      <c r="AM173" s="25"/>
      <c r="AN173" s="25"/>
      <c r="AO173" s="25"/>
      <c r="AP173" s="25"/>
      <c r="AQ173" s="25"/>
      <c r="AR173" s="25"/>
      <c r="AS173" s="25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  <c r="BF173" s="25"/>
      <c r="BG173" s="25"/>
      <c r="BH173" s="25"/>
      <c r="BI173" s="25"/>
      <c r="BJ173" s="25"/>
      <c r="BK173" s="25"/>
      <c r="BL173" s="25"/>
      <c r="BM173" s="25"/>
      <c r="BN173" s="25"/>
      <c r="BO173" s="25"/>
      <c r="BP173" s="25"/>
      <c r="BQ173" s="25"/>
      <c r="BR173" s="25"/>
      <c r="BS173" s="25"/>
      <c r="BT173" s="25"/>
      <c r="BU173" s="25"/>
      <c r="BV173" s="25"/>
      <c r="BW173" s="25"/>
      <c r="BX173" s="25"/>
      <c r="BY173" s="25"/>
      <c r="BZ173" s="25"/>
      <c r="CA173" s="25"/>
      <c r="CB173" s="25"/>
      <c r="CC173" s="25"/>
      <c r="CD173" s="25"/>
      <c r="CE173" s="25"/>
      <c r="CF173" s="25"/>
      <c r="CG173" s="25"/>
      <c r="CH173" s="25"/>
      <c r="CI173" s="25"/>
      <c r="CJ173" s="25"/>
      <c r="CK173" s="25"/>
      <c r="CL173" s="25"/>
      <c r="CM173" s="25"/>
      <c r="CN173" s="25"/>
      <c r="CO173" s="25"/>
      <c r="CP173" s="25"/>
      <c r="CQ173" s="25"/>
      <c r="CR173" s="25"/>
      <c r="CS173" s="25"/>
      <c r="CT173" s="25"/>
      <c r="CU173" s="25"/>
      <c r="CV173" s="25"/>
      <c r="CW173" s="25"/>
      <c r="CX173" s="25"/>
      <c r="CY173" s="25"/>
      <c r="CZ173" s="25"/>
      <c r="DA173" s="25"/>
      <c r="DB173" s="25"/>
      <c r="DC173" s="25"/>
      <c r="DD173" s="25"/>
      <c r="DE173" s="25"/>
      <c r="DF173" s="25"/>
      <c r="DG173" s="25"/>
      <c r="DH173" s="25"/>
      <c r="DI173" s="25"/>
      <c r="DJ173" s="25"/>
      <c r="DK173" s="25"/>
      <c r="DL173" s="25"/>
      <c r="DM173" s="25"/>
      <c r="DN173" s="25"/>
      <c r="DO173" s="25"/>
      <c r="DP173" s="25"/>
      <c r="DQ173" s="25"/>
      <c r="DR173" s="25"/>
      <c r="DS173" s="25"/>
      <c r="DT173" s="25"/>
      <c r="DU173" s="25"/>
      <c r="DV173" s="25"/>
      <c r="DW173" s="25"/>
      <c r="DX173" s="25"/>
      <c r="DY173" s="25"/>
      <c r="DZ173" s="25"/>
      <c r="EA173" s="25"/>
      <c r="EB173" s="25"/>
      <c r="EC173" s="25"/>
      <c r="ED173" s="25"/>
      <c r="EE173" s="25"/>
      <c r="EF173" s="25"/>
      <c r="EG173" s="25"/>
      <c r="EH173" s="25"/>
      <c r="EI173" s="25"/>
      <c r="EJ173" s="25"/>
      <c r="EK173" s="25"/>
      <c r="EL173" s="25"/>
      <c r="EM173" s="25"/>
      <c r="EN173" s="25"/>
      <c r="EO173" s="25"/>
      <c r="EP173" s="25"/>
      <c r="EQ173" s="25"/>
      <c r="ER173" s="25"/>
      <c r="ES173" s="25"/>
      <c r="ET173" s="25"/>
    </row>
    <row r="174" spans="9:150" x14ac:dyDescent="0.25"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5"/>
      <c r="AL174" s="25"/>
      <c r="AM174" s="25"/>
      <c r="AN174" s="25"/>
      <c r="AO174" s="25"/>
      <c r="AP174" s="25"/>
      <c r="AQ174" s="25"/>
      <c r="AR174" s="25"/>
      <c r="AS174" s="25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  <c r="BF174" s="25"/>
      <c r="BG174" s="25"/>
      <c r="BH174" s="25"/>
      <c r="BI174" s="25"/>
      <c r="BJ174" s="25"/>
      <c r="BK174" s="25"/>
      <c r="BL174" s="25"/>
      <c r="BM174" s="25"/>
      <c r="BN174" s="25"/>
      <c r="BO174" s="25"/>
      <c r="BP174" s="25"/>
      <c r="BQ174" s="25"/>
      <c r="BR174" s="25"/>
      <c r="BS174" s="25"/>
      <c r="BT174" s="25"/>
      <c r="BU174" s="25"/>
      <c r="BV174" s="25"/>
      <c r="BW174" s="25"/>
      <c r="BX174" s="25"/>
      <c r="BY174" s="25"/>
      <c r="BZ174" s="25"/>
      <c r="CA174" s="25"/>
      <c r="CB174" s="25"/>
      <c r="CC174" s="25"/>
      <c r="CD174" s="25"/>
      <c r="CE174" s="25"/>
      <c r="CF174" s="25"/>
      <c r="CG174" s="25"/>
      <c r="CH174" s="25"/>
      <c r="CI174" s="25"/>
      <c r="CJ174" s="25"/>
      <c r="CK174" s="25"/>
      <c r="CL174" s="25"/>
      <c r="CM174" s="25"/>
      <c r="CN174" s="25"/>
      <c r="CO174" s="25"/>
      <c r="CP174" s="25"/>
      <c r="CQ174" s="25"/>
      <c r="CR174" s="25"/>
      <c r="CS174" s="25"/>
      <c r="CT174" s="25"/>
      <c r="CU174" s="25"/>
      <c r="CV174" s="25"/>
      <c r="CW174" s="25"/>
      <c r="CX174" s="25"/>
      <c r="CY174" s="25"/>
      <c r="CZ174" s="25"/>
      <c r="DA174" s="25"/>
      <c r="DB174" s="25"/>
      <c r="DC174" s="25"/>
      <c r="DD174" s="25"/>
      <c r="DE174" s="25"/>
      <c r="DF174" s="25"/>
      <c r="DG174" s="25"/>
      <c r="DH174" s="25"/>
      <c r="DI174" s="25"/>
      <c r="DJ174" s="25"/>
      <c r="DK174" s="25"/>
      <c r="DL174" s="25"/>
      <c r="DM174" s="25"/>
      <c r="DN174" s="25"/>
      <c r="DO174" s="25"/>
      <c r="DP174" s="25"/>
      <c r="DQ174" s="25"/>
      <c r="DR174" s="25"/>
      <c r="DS174" s="25"/>
      <c r="DT174" s="25"/>
      <c r="DU174" s="25"/>
      <c r="DV174" s="25"/>
      <c r="DW174" s="25"/>
      <c r="DX174" s="25"/>
      <c r="DY174" s="25"/>
      <c r="DZ174" s="25"/>
      <c r="EA174" s="25"/>
      <c r="EB174" s="25"/>
      <c r="EC174" s="25"/>
      <c r="ED174" s="25"/>
      <c r="EE174" s="25"/>
      <c r="EF174" s="25"/>
      <c r="EG174" s="25"/>
      <c r="EH174" s="25"/>
      <c r="EI174" s="25"/>
      <c r="EJ174" s="25"/>
      <c r="EK174" s="25"/>
      <c r="EL174" s="25"/>
      <c r="EM174" s="25"/>
      <c r="EN174" s="25"/>
      <c r="EO174" s="25"/>
      <c r="EP174" s="25"/>
      <c r="EQ174" s="25"/>
      <c r="ER174" s="25"/>
      <c r="ES174" s="25"/>
      <c r="ET174" s="25"/>
    </row>
    <row r="175" spans="9:150" x14ac:dyDescent="0.25"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5"/>
      <c r="AL175" s="25"/>
      <c r="AM175" s="25"/>
      <c r="AN175" s="25"/>
      <c r="AO175" s="25"/>
      <c r="AP175" s="25"/>
      <c r="AQ175" s="25"/>
      <c r="AR175" s="25"/>
      <c r="AS175" s="25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  <c r="BF175" s="25"/>
      <c r="BG175" s="25"/>
      <c r="BH175" s="25"/>
      <c r="BI175" s="25"/>
      <c r="BJ175" s="25"/>
      <c r="BK175" s="25"/>
      <c r="BL175" s="25"/>
      <c r="BM175" s="25"/>
      <c r="BN175" s="25"/>
      <c r="BO175" s="25"/>
      <c r="BP175" s="25"/>
      <c r="BQ175" s="25"/>
      <c r="BR175" s="25"/>
      <c r="BS175" s="25"/>
      <c r="BT175" s="25"/>
      <c r="BU175" s="25"/>
      <c r="BV175" s="25"/>
      <c r="BW175" s="25"/>
      <c r="BX175" s="25"/>
      <c r="BY175" s="25"/>
      <c r="BZ175" s="25"/>
      <c r="CA175" s="25"/>
      <c r="CB175" s="25"/>
      <c r="CC175" s="25"/>
      <c r="CD175" s="25"/>
      <c r="CE175" s="25"/>
      <c r="CF175" s="25"/>
      <c r="CG175" s="25"/>
      <c r="CH175" s="25"/>
      <c r="CI175" s="25"/>
      <c r="CJ175" s="25"/>
      <c r="CK175" s="25"/>
      <c r="CL175" s="25"/>
      <c r="CM175" s="25"/>
      <c r="CN175" s="25"/>
      <c r="CO175" s="25"/>
      <c r="CP175" s="25"/>
      <c r="CQ175" s="25"/>
      <c r="CR175" s="25"/>
      <c r="CS175" s="25"/>
      <c r="CT175" s="25"/>
      <c r="CU175" s="25"/>
      <c r="CV175" s="25"/>
      <c r="CW175" s="25"/>
      <c r="CX175" s="25"/>
      <c r="CY175" s="25"/>
      <c r="CZ175" s="25"/>
      <c r="DA175" s="25"/>
      <c r="DB175" s="25"/>
      <c r="DC175" s="25"/>
      <c r="DD175" s="25"/>
      <c r="DE175" s="25"/>
      <c r="DF175" s="25"/>
      <c r="DG175" s="25"/>
      <c r="DH175" s="25"/>
      <c r="DI175" s="25"/>
      <c r="DJ175" s="25"/>
      <c r="DK175" s="25"/>
      <c r="DL175" s="25"/>
      <c r="DM175" s="25"/>
      <c r="DN175" s="25"/>
      <c r="DO175" s="25"/>
      <c r="DP175" s="25"/>
      <c r="DQ175" s="25"/>
      <c r="DR175" s="25"/>
      <c r="DS175" s="25"/>
      <c r="DT175" s="25"/>
      <c r="DU175" s="25"/>
      <c r="DV175" s="25"/>
      <c r="DW175" s="25"/>
      <c r="DX175" s="25"/>
      <c r="DY175" s="25"/>
      <c r="DZ175" s="25"/>
      <c r="EA175" s="25"/>
      <c r="EB175" s="25"/>
      <c r="EC175" s="25"/>
      <c r="ED175" s="25"/>
      <c r="EE175" s="25"/>
      <c r="EF175" s="25"/>
      <c r="EG175" s="25"/>
      <c r="EH175" s="25"/>
      <c r="EI175" s="25"/>
      <c r="EJ175" s="25"/>
      <c r="EK175" s="25"/>
      <c r="EL175" s="25"/>
      <c r="EM175" s="25"/>
      <c r="EN175" s="25"/>
      <c r="EO175" s="25"/>
      <c r="EP175" s="25"/>
      <c r="EQ175" s="25"/>
      <c r="ER175" s="25"/>
      <c r="ES175" s="25"/>
      <c r="ET175" s="25"/>
    </row>
    <row r="176" spans="9:150" x14ac:dyDescent="0.25"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5"/>
      <c r="AL176" s="25"/>
      <c r="AM176" s="25"/>
      <c r="AN176" s="25"/>
      <c r="AO176" s="25"/>
      <c r="AP176" s="25"/>
      <c r="AQ176" s="25"/>
      <c r="AR176" s="25"/>
      <c r="AS176" s="25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  <c r="BF176" s="25"/>
      <c r="BG176" s="25"/>
      <c r="BH176" s="25"/>
      <c r="BI176" s="25"/>
      <c r="BJ176" s="25"/>
      <c r="BK176" s="25"/>
      <c r="BL176" s="25"/>
      <c r="BM176" s="25"/>
      <c r="BN176" s="25"/>
      <c r="BO176" s="25"/>
      <c r="BP176" s="25"/>
      <c r="BQ176" s="25"/>
      <c r="BR176" s="25"/>
      <c r="BS176" s="25"/>
      <c r="BT176" s="25"/>
      <c r="BU176" s="25"/>
      <c r="BV176" s="25"/>
      <c r="BW176" s="25"/>
      <c r="BX176" s="25"/>
      <c r="BY176" s="25"/>
      <c r="BZ176" s="25"/>
      <c r="CA176" s="25"/>
      <c r="CB176" s="25"/>
      <c r="CC176" s="25"/>
      <c r="CD176" s="25"/>
      <c r="CE176" s="25"/>
      <c r="CF176" s="25"/>
      <c r="CG176" s="25"/>
      <c r="CH176" s="25"/>
      <c r="CI176" s="25"/>
      <c r="CJ176" s="25"/>
      <c r="CK176" s="25"/>
      <c r="CL176" s="25"/>
      <c r="CM176" s="25"/>
      <c r="CN176" s="25"/>
      <c r="CO176" s="25"/>
      <c r="CP176" s="25"/>
      <c r="CQ176" s="25"/>
      <c r="CR176" s="25"/>
      <c r="CS176" s="25"/>
      <c r="CT176" s="25"/>
      <c r="CU176" s="25"/>
      <c r="CV176" s="25"/>
      <c r="CW176" s="25"/>
      <c r="CX176" s="25"/>
      <c r="CY176" s="25"/>
      <c r="CZ176" s="25"/>
      <c r="DA176" s="25"/>
      <c r="DB176" s="25"/>
      <c r="DC176" s="25"/>
      <c r="DD176" s="25"/>
      <c r="DE176" s="25"/>
      <c r="DF176" s="25"/>
      <c r="DG176" s="25"/>
      <c r="DH176" s="25"/>
      <c r="DI176" s="25"/>
      <c r="DJ176" s="25"/>
      <c r="DK176" s="25"/>
      <c r="DL176" s="25"/>
      <c r="DM176" s="25"/>
      <c r="DN176" s="25"/>
      <c r="DO176" s="25"/>
      <c r="DP176" s="25"/>
      <c r="DQ176" s="25"/>
      <c r="DR176" s="25"/>
      <c r="DS176" s="25"/>
      <c r="DT176" s="25"/>
      <c r="DU176" s="25"/>
      <c r="DV176" s="25"/>
      <c r="DW176" s="25"/>
      <c r="DX176" s="25"/>
      <c r="DY176" s="25"/>
      <c r="DZ176" s="25"/>
      <c r="EA176" s="25"/>
      <c r="EB176" s="25"/>
      <c r="EC176" s="25"/>
      <c r="ED176" s="25"/>
      <c r="EE176" s="25"/>
      <c r="EF176" s="25"/>
      <c r="EG176" s="25"/>
      <c r="EH176" s="25"/>
      <c r="EI176" s="25"/>
      <c r="EJ176" s="25"/>
      <c r="EK176" s="25"/>
      <c r="EL176" s="25"/>
      <c r="EM176" s="25"/>
      <c r="EN176" s="25"/>
      <c r="EO176" s="25"/>
      <c r="EP176" s="25"/>
      <c r="EQ176" s="25"/>
      <c r="ER176" s="25"/>
      <c r="ES176" s="25"/>
      <c r="ET176" s="25"/>
    </row>
    <row r="177" spans="9:150" x14ac:dyDescent="0.25"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25"/>
      <c r="AM177" s="25"/>
      <c r="AN177" s="25"/>
      <c r="AO177" s="25"/>
      <c r="AP177" s="25"/>
      <c r="AQ177" s="25"/>
      <c r="AR177" s="25"/>
      <c r="AS177" s="25"/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  <c r="BF177" s="25"/>
      <c r="BG177" s="25"/>
      <c r="BH177" s="25"/>
      <c r="BI177" s="25"/>
      <c r="BJ177" s="25"/>
      <c r="BK177" s="25"/>
      <c r="BL177" s="25"/>
      <c r="BM177" s="25"/>
      <c r="BN177" s="25"/>
      <c r="BO177" s="25"/>
      <c r="BP177" s="25"/>
      <c r="BQ177" s="25"/>
      <c r="BR177" s="25"/>
      <c r="BS177" s="25"/>
      <c r="BT177" s="25"/>
      <c r="BU177" s="25"/>
      <c r="BV177" s="25"/>
      <c r="BW177" s="25"/>
      <c r="BX177" s="25"/>
      <c r="BY177" s="25"/>
      <c r="BZ177" s="25"/>
      <c r="CA177" s="25"/>
      <c r="CB177" s="25"/>
      <c r="CC177" s="25"/>
      <c r="CD177" s="25"/>
      <c r="CE177" s="25"/>
      <c r="CF177" s="25"/>
      <c r="CG177" s="25"/>
      <c r="CH177" s="25"/>
      <c r="CI177" s="25"/>
      <c r="CJ177" s="25"/>
      <c r="CK177" s="25"/>
      <c r="CL177" s="25"/>
      <c r="CM177" s="25"/>
      <c r="CN177" s="25"/>
      <c r="CO177" s="25"/>
      <c r="CP177" s="25"/>
      <c r="CQ177" s="25"/>
      <c r="CR177" s="25"/>
      <c r="CS177" s="25"/>
      <c r="CT177" s="25"/>
      <c r="CU177" s="25"/>
      <c r="CV177" s="25"/>
      <c r="CW177" s="25"/>
      <c r="CX177" s="25"/>
      <c r="CY177" s="25"/>
      <c r="CZ177" s="25"/>
      <c r="DA177" s="25"/>
      <c r="DB177" s="25"/>
      <c r="DC177" s="25"/>
      <c r="DD177" s="25"/>
      <c r="DE177" s="25"/>
      <c r="DF177" s="25"/>
      <c r="DG177" s="25"/>
      <c r="DH177" s="25"/>
      <c r="DI177" s="25"/>
      <c r="DJ177" s="25"/>
      <c r="DK177" s="25"/>
      <c r="DL177" s="25"/>
      <c r="DM177" s="25"/>
      <c r="DN177" s="25"/>
      <c r="DO177" s="25"/>
      <c r="DP177" s="25"/>
      <c r="DQ177" s="25"/>
      <c r="DR177" s="25"/>
      <c r="DS177" s="25"/>
      <c r="DT177" s="25"/>
      <c r="DU177" s="25"/>
      <c r="DV177" s="25"/>
      <c r="DW177" s="25"/>
      <c r="DX177" s="25"/>
      <c r="DY177" s="25"/>
      <c r="DZ177" s="25"/>
      <c r="EA177" s="25"/>
      <c r="EB177" s="25"/>
      <c r="EC177" s="25"/>
      <c r="ED177" s="25"/>
      <c r="EE177" s="25"/>
      <c r="EF177" s="25"/>
      <c r="EG177" s="25"/>
      <c r="EH177" s="25"/>
      <c r="EI177" s="25"/>
      <c r="EJ177" s="25"/>
      <c r="EK177" s="25"/>
      <c r="EL177" s="25"/>
      <c r="EM177" s="25"/>
      <c r="EN177" s="25"/>
      <c r="EO177" s="25"/>
      <c r="EP177" s="25"/>
      <c r="EQ177" s="25"/>
      <c r="ER177" s="25"/>
      <c r="ES177" s="25"/>
      <c r="ET177" s="25"/>
    </row>
    <row r="178" spans="9:150" x14ac:dyDescent="0.25"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  <c r="AL178" s="25"/>
      <c r="AM178" s="25"/>
      <c r="AN178" s="25"/>
      <c r="AO178" s="25"/>
      <c r="AP178" s="25"/>
      <c r="AQ178" s="25"/>
      <c r="AR178" s="25"/>
      <c r="AS178" s="25"/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  <c r="BF178" s="25"/>
      <c r="BG178" s="25"/>
      <c r="BH178" s="25"/>
      <c r="BI178" s="25"/>
      <c r="BJ178" s="25"/>
      <c r="BK178" s="25"/>
      <c r="BL178" s="25"/>
      <c r="BM178" s="25"/>
      <c r="BN178" s="25"/>
      <c r="BO178" s="25"/>
      <c r="BP178" s="25"/>
      <c r="BQ178" s="25"/>
      <c r="BR178" s="25"/>
      <c r="BS178" s="25"/>
      <c r="BT178" s="25"/>
      <c r="BU178" s="25"/>
      <c r="BV178" s="25"/>
      <c r="BW178" s="25"/>
      <c r="BX178" s="25"/>
      <c r="BY178" s="25"/>
      <c r="BZ178" s="25"/>
      <c r="CA178" s="25"/>
      <c r="CB178" s="25"/>
      <c r="CC178" s="25"/>
      <c r="CD178" s="25"/>
      <c r="CE178" s="25"/>
      <c r="CF178" s="25"/>
      <c r="CG178" s="25"/>
      <c r="CH178" s="25"/>
      <c r="CI178" s="25"/>
      <c r="CJ178" s="25"/>
      <c r="CK178" s="25"/>
      <c r="CL178" s="25"/>
      <c r="CM178" s="25"/>
      <c r="CN178" s="25"/>
      <c r="CO178" s="25"/>
      <c r="CP178" s="25"/>
      <c r="CQ178" s="25"/>
      <c r="CR178" s="25"/>
      <c r="CS178" s="25"/>
      <c r="CT178" s="25"/>
      <c r="CU178" s="25"/>
      <c r="CV178" s="25"/>
      <c r="CW178" s="25"/>
      <c r="CX178" s="25"/>
      <c r="CY178" s="25"/>
      <c r="CZ178" s="25"/>
      <c r="DA178" s="25"/>
      <c r="DB178" s="25"/>
      <c r="DC178" s="25"/>
      <c r="DD178" s="25"/>
      <c r="DE178" s="25"/>
      <c r="DF178" s="25"/>
      <c r="DG178" s="25"/>
      <c r="DH178" s="25"/>
      <c r="DI178" s="25"/>
      <c r="DJ178" s="25"/>
      <c r="DK178" s="25"/>
      <c r="DL178" s="25"/>
      <c r="DM178" s="25"/>
      <c r="DN178" s="25"/>
      <c r="DO178" s="25"/>
      <c r="DP178" s="25"/>
      <c r="DQ178" s="25"/>
      <c r="DR178" s="25"/>
      <c r="DS178" s="25"/>
      <c r="DT178" s="25"/>
      <c r="DU178" s="25"/>
      <c r="DV178" s="25"/>
      <c r="DW178" s="25"/>
      <c r="DX178" s="25"/>
      <c r="DY178" s="25"/>
      <c r="DZ178" s="25"/>
      <c r="EA178" s="25"/>
      <c r="EB178" s="25"/>
      <c r="EC178" s="25"/>
      <c r="ED178" s="25"/>
      <c r="EE178" s="25"/>
      <c r="EF178" s="25"/>
      <c r="EG178" s="25"/>
      <c r="EH178" s="25"/>
      <c r="EI178" s="25"/>
      <c r="EJ178" s="25"/>
      <c r="EK178" s="25"/>
      <c r="EL178" s="25"/>
      <c r="EM178" s="25"/>
      <c r="EN178" s="25"/>
      <c r="EO178" s="25"/>
      <c r="EP178" s="25"/>
      <c r="EQ178" s="25"/>
      <c r="ER178" s="25"/>
      <c r="ES178" s="25"/>
      <c r="ET178" s="25"/>
    </row>
    <row r="179" spans="9:150" x14ac:dyDescent="0.25"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5"/>
      <c r="AL179" s="25"/>
      <c r="AM179" s="25"/>
      <c r="AN179" s="25"/>
      <c r="AO179" s="25"/>
      <c r="AP179" s="25"/>
      <c r="AQ179" s="25"/>
      <c r="AR179" s="25"/>
      <c r="AS179" s="25"/>
      <c r="AT179" s="25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25"/>
      <c r="BF179" s="25"/>
      <c r="BG179" s="25"/>
      <c r="BH179" s="25"/>
      <c r="BI179" s="25"/>
      <c r="BJ179" s="25"/>
      <c r="BK179" s="25"/>
      <c r="BL179" s="25"/>
      <c r="BM179" s="25"/>
      <c r="BN179" s="25"/>
      <c r="BO179" s="25"/>
      <c r="BP179" s="25"/>
      <c r="BQ179" s="25"/>
      <c r="BR179" s="25"/>
      <c r="BS179" s="25"/>
      <c r="BT179" s="25"/>
      <c r="BU179" s="25"/>
      <c r="BV179" s="25"/>
      <c r="BW179" s="25"/>
      <c r="BX179" s="25"/>
      <c r="BY179" s="25"/>
      <c r="BZ179" s="25"/>
      <c r="CA179" s="25"/>
      <c r="CB179" s="25"/>
      <c r="CC179" s="25"/>
      <c r="CD179" s="25"/>
      <c r="CE179" s="25"/>
      <c r="CF179" s="25"/>
      <c r="CG179" s="25"/>
      <c r="CH179" s="25"/>
      <c r="CI179" s="25"/>
      <c r="CJ179" s="25"/>
      <c r="CK179" s="25"/>
      <c r="CL179" s="25"/>
      <c r="CM179" s="25"/>
      <c r="CN179" s="25"/>
      <c r="CO179" s="25"/>
      <c r="CP179" s="25"/>
      <c r="CQ179" s="25"/>
      <c r="CR179" s="25"/>
      <c r="CS179" s="25"/>
      <c r="CT179" s="25"/>
      <c r="CU179" s="25"/>
      <c r="CV179" s="25"/>
      <c r="CW179" s="25"/>
      <c r="CX179" s="25"/>
      <c r="CY179" s="25"/>
      <c r="CZ179" s="25"/>
      <c r="DA179" s="25"/>
      <c r="DB179" s="25"/>
      <c r="DC179" s="25"/>
      <c r="DD179" s="25"/>
      <c r="DE179" s="25"/>
      <c r="DF179" s="25"/>
      <c r="DG179" s="25"/>
      <c r="DH179" s="25"/>
      <c r="DI179" s="25"/>
      <c r="DJ179" s="25"/>
      <c r="DK179" s="25"/>
      <c r="DL179" s="25"/>
      <c r="DM179" s="25"/>
      <c r="DN179" s="25"/>
      <c r="DO179" s="25"/>
      <c r="DP179" s="25"/>
      <c r="DQ179" s="25"/>
      <c r="DR179" s="25"/>
      <c r="DS179" s="25"/>
      <c r="DT179" s="25"/>
      <c r="DU179" s="25"/>
      <c r="DV179" s="25"/>
      <c r="DW179" s="25"/>
      <c r="DX179" s="25"/>
      <c r="DY179" s="25"/>
      <c r="DZ179" s="25"/>
      <c r="EA179" s="25"/>
      <c r="EB179" s="25"/>
      <c r="EC179" s="25"/>
      <c r="ED179" s="25"/>
      <c r="EE179" s="25"/>
      <c r="EF179" s="25"/>
      <c r="EG179" s="25"/>
      <c r="EH179" s="25"/>
      <c r="EI179" s="25"/>
      <c r="EJ179" s="25"/>
      <c r="EK179" s="25"/>
      <c r="EL179" s="25"/>
      <c r="EM179" s="25"/>
      <c r="EN179" s="25"/>
      <c r="EO179" s="25"/>
      <c r="EP179" s="25"/>
      <c r="EQ179" s="25"/>
      <c r="ER179" s="25"/>
      <c r="ES179" s="25"/>
      <c r="ET179" s="25"/>
    </row>
    <row r="180" spans="9:150" x14ac:dyDescent="0.25"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5"/>
      <c r="AL180" s="25"/>
      <c r="AM180" s="25"/>
      <c r="AN180" s="25"/>
      <c r="AO180" s="25"/>
      <c r="AP180" s="25"/>
      <c r="AQ180" s="25"/>
      <c r="AR180" s="25"/>
      <c r="AS180" s="25"/>
      <c r="AT180" s="25"/>
      <c r="AU180" s="25"/>
      <c r="AV180" s="25"/>
      <c r="AW180" s="25"/>
      <c r="AX180" s="25"/>
      <c r="AY180" s="25"/>
      <c r="AZ180" s="25"/>
      <c r="BA180" s="25"/>
      <c r="BB180" s="25"/>
      <c r="BC180" s="25"/>
      <c r="BD180" s="25"/>
      <c r="BE180" s="25"/>
      <c r="BF180" s="25"/>
      <c r="BG180" s="25"/>
      <c r="BH180" s="25"/>
      <c r="BI180" s="25"/>
      <c r="BJ180" s="25"/>
      <c r="BK180" s="25"/>
      <c r="BL180" s="25"/>
      <c r="BM180" s="25"/>
      <c r="BN180" s="25"/>
      <c r="BO180" s="25"/>
      <c r="BP180" s="25"/>
      <c r="BQ180" s="25"/>
      <c r="BR180" s="25"/>
      <c r="BS180" s="25"/>
      <c r="BT180" s="25"/>
      <c r="BU180" s="25"/>
      <c r="BV180" s="25"/>
      <c r="BW180" s="25"/>
      <c r="BX180" s="25"/>
      <c r="BY180" s="25"/>
      <c r="BZ180" s="25"/>
      <c r="CA180" s="25"/>
      <c r="CB180" s="25"/>
      <c r="CC180" s="25"/>
      <c r="CD180" s="25"/>
      <c r="CE180" s="25"/>
      <c r="CF180" s="25"/>
      <c r="CG180" s="25"/>
      <c r="CH180" s="25"/>
      <c r="CI180" s="25"/>
      <c r="CJ180" s="25"/>
      <c r="CK180" s="25"/>
      <c r="CL180" s="25"/>
      <c r="CM180" s="25"/>
      <c r="CN180" s="25"/>
      <c r="CO180" s="25"/>
      <c r="CP180" s="25"/>
      <c r="CQ180" s="25"/>
      <c r="CR180" s="25"/>
      <c r="CS180" s="25"/>
      <c r="CT180" s="25"/>
      <c r="CU180" s="25"/>
      <c r="CV180" s="25"/>
      <c r="CW180" s="25"/>
      <c r="CX180" s="25"/>
      <c r="CY180" s="25"/>
      <c r="CZ180" s="25"/>
      <c r="DA180" s="25"/>
      <c r="DB180" s="25"/>
      <c r="DC180" s="25"/>
      <c r="DD180" s="25"/>
      <c r="DE180" s="25"/>
      <c r="DF180" s="25"/>
      <c r="DG180" s="25"/>
      <c r="DH180" s="25"/>
      <c r="DI180" s="25"/>
      <c r="DJ180" s="25"/>
      <c r="DK180" s="25"/>
      <c r="DL180" s="25"/>
      <c r="DM180" s="25"/>
      <c r="DN180" s="25"/>
      <c r="DO180" s="25"/>
      <c r="DP180" s="25"/>
      <c r="DQ180" s="25"/>
      <c r="DR180" s="25"/>
      <c r="DS180" s="25"/>
      <c r="DT180" s="25"/>
      <c r="DU180" s="25"/>
      <c r="DV180" s="25"/>
      <c r="DW180" s="25"/>
      <c r="DX180" s="25"/>
      <c r="DY180" s="25"/>
      <c r="DZ180" s="25"/>
      <c r="EA180" s="25"/>
      <c r="EB180" s="25"/>
      <c r="EC180" s="25"/>
      <c r="ED180" s="25"/>
      <c r="EE180" s="25"/>
      <c r="EF180" s="25"/>
      <c r="EG180" s="25"/>
      <c r="EH180" s="25"/>
      <c r="EI180" s="25"/>
      <c r="EJ180" s="25"/>
      <c r="EK180" s="25"/>
      <c r="EL180" s="25"/>
      <c r="EM180" s="25"/>
      <c r="EN180" s="25"/>
      <c r="EO180" s="25"/>
      <c r="EP180" s="25"/>
      <c r="EQ180" s="25"/>
      <c r="ER180" s="25"/>
      <c r="ES180" s="25"/>
      <c r="ET180" s="25"/>
    </row>
    <row r="181" spans="9:150" x14ac:dyDescent="0.25"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5"/>
      <c r="AL181" s="25"/>
      <c r="AM181" s="25"/>
      <c r="AN181" s="25"/>
      <c r="AO181" s="25"/>
      <c r="AP181" s="25"/>
      <c r="AQ181" s="25"/>
      <c r="AR181" s="25"/>
      <c r="AS181" s="25"/>
      <c r="AT181" s="25"/>
      <c r="AU181" s="25"/>
      <c r="AV181" s="25"/>
      <c r="AW181" s="25"/>
      <c r="AX181" s="25"/>
      <c r="AY181" s="25"/>
      <c r="AZ181" s="25"/>
      <c r="BA181" s="25"/>
      <c r="BB181" s="25"/>
      <c r="BC181" s="25"/>
      <c r="BD181" s="25"/>
      <c r="BE181" s="25"/>
      <c r="BF181" s="25"/>
      <c r="BG181" s="25"/>
      <c r="BH181" s="25"/>
      <c r="BI181" s="25"/>
      <c r="BJ181" s="25"/>
      <c r="BK181" s="25"/>
      <c r="BL181" s="25"/>
      <c r="BM181" s="25"/>
      <c r="BN181" s="25"/>
      <c r="BO181" s="25"/>
      <c r="BP181" s="25"/>
      <c r="BQ181" s="25"/>
      <c r="BR181" s="25"/>
      <c r="BS181" s="25"/>
      <c r="BT181" s="25"/>
      <c r="BU181" s="25"/>
      <c r="BV181" s="25"/>
      <c r="BW181" s="25"/>
      <c r="BX181" s="25"/>
      <c r="BY181" s="25"/>
      <c r="BZ181" s="25"/>
      <c r="CA181" s="25"/>
      <c r="CB181" s="25"/>
      <c r="CC181" s="25"/>
      <c r="CD181" s="25"/>
      <c r="CE181" s="25"/>
      <c r="CF181" s="25"/>
      <c r="CG181" s="25"/>
      <c r="CH181" s="25"/>
      <c r="CI181" s="25"/>
      <c r="CJ181" s="25"/>
      <c r="CK181" s="25"/>
      <c r="CL181" s="25"/>
      <c r="CM181" s="25"/>
      <c r="CN181" s="25"/>
      <c r="CO181" s="25"/>
      <c r="CP181" s="25"/>
      <c r="CQ181" s="25"/>
      <c r="CR181" s="25"/>
      <c r="CS181" s="25"/>
      <c r="CT181" s="25"/>
      <c r="CU181" s="25"/>
      <c r="CV181" s="25"/>
      <c r="CW181" s="25"/>
      <c r="CX181" s="25"/>
      <c r="CY181" s="25"/>
      <c r="CZ181" s="25"/>
      <c r="DA181" s="25"/>
      <c r="DB181" s="25"/>
      <c r="DC181" s="25"/>
      <c r="DD181" s="25"/>
      <c r="DE181" s="25"/>
      <c r="DF181" s="25"/>
      <c r="DG181" s="25"/>
      <c r="DH181" s="25"/>
      <c r="DI181" s="25"/>
      <c r="DJ181" s="25"/>
      <c r="DK181" s="25"/>
      <c r="DL181" s="25"/>
      <c r="DM181" s="25"/>
      <c r="DN181" s="25"/>
      <c r="DO181" s="25"/>
      <c r="DP181" s="25"/>
      <c r="DQ181" s="25"/>
      <c r="DR181" s="25"/>
      <c r="DS181" s="25"/>
      <c r="DT181" s="25"/>
      <c r="DU181" s="25"/>
      <c r="DV181" s="25"/>
      <c r="DW181" s="25"/>
      <c r="DX181" s="25"/>
      <c r="DY181" s="25"/>
      <c r="DZ181" s="25"/>
      <c r="EA181" s="25"/>
      <c r="EB181" s="25"/>
      <c r="EC181" s="25"/>
      <c r="ED181" s="25"/>
      <c r="EE181" s="25"/>
      <c r="EF181" s="25"/>
      <c r="EG181" s="25"/>
      <c r="EH181" s="25"/>
      <c r="EI181" s="25"/>
      <c r="EJ181" s="25"/>
      <c r="EK181" s="25"/>
      <c r="EL181" s="25"/>
      <c r="EM181" s="25"/>
      <c r="EN181" s="25"/>
      <c r="EO181" s="25"/>
      <c r="EP181" s="25"/>
      <c r="EQ181" s="25"/>
      <c r="ER181" s="25"/>
      <c r="ES181" s="25"/>
      <c r="ET181" s="25"/>
    </row>
    <row r="182" spans="9:150" x14ac:dyDescent="0.25"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5"/>
      <c r="AL182" s="25"/>
      <c r="AM182" s="25"/>
      <c r="AN182" s="25"/>
      <c r="AO182" s="25"/>
      <c r="AP182" s="25"/>
      <c r="AQ182" s="25"/>
      <c r="AR182" s="25"/>
      <c r="AS182" s="25"/>
      <c r="AT182" s="25"/>
      <c r="AU182" s="25"/>
      <c r="AV182" s="25"/>
      <c r="AW182" s="25"/>
      <c r="AX182" s="25"/>
      <c r="AY182" s="25"/>
      <c r="AZ182" s="25"/>
      <c r="BA182" s="25"/>
      <c r="BB182" s="25"/>
      <c r="BC182" s="25"/>
      <c r="BD182" s="25"/>
      <c r="BE182" s="25"/>
      <c r="BF182" s="25"/>
      <c r="BG182" s="25"/>
      <c r="BH182" s="25"/>
      <c r="BI182" s="25"/>
      <c r="BJ182" s="25"/>
      <c r="BK182" s="25"/>
      <c r="BL182" s="25"/>
      <c r="BM182" s="25"/>
      <c r="BN182" s="25"/>
      <c r="BO182" s="25"/>
      <c r="BP182" s="25"/>
      <c r="BQ182" s="25"/>
      <c r="BR182" s="25"/>
      <c r="BS182" s="25"/>
      <c r="BT182" s="25"/>
      <c r="BU182" s="25"/>
      <c r="BV182" s="25"/>
      <c r="BW182" s="25"/>
      <c r="BX182" s="25"/>
      <c r="BY182" s="25"/>
      <c r="BZ182" s="25"/>
      <c r="CA182" s="25"/>
      <c r="CB182" s="25"/>
      <c r="CC182" s="25"/>
      <c r="CD182" s="25"/>
      <c r="CE182" s="25"/>
      <c r="CF182" s="25"/>
      <c r="CG182" s="25"/>
      <c r="CH182" s="25"/>
      <c r="CI182" s="25"/>
      <c r="CJ182" s="25"/>
      <c r="CK182" s="25"/>
      <c r="CL182" s="25"/>
      <c r="CM182" s="25"/>
      <c r="CN182" s="25"/>
      <c r="CO182" s="25"/>
      <c r="CP182" s="25"/>
      <c r="CQ182" s="25"/>
      <c r="CR182" s="25"/>
      <c r="CS182" s="25"/>
      <c r="CT182" s="25"/>
      <c r="CU182" s="25"/>
      <c r="CV182" s="25"/>
      <c r="CW182" s="25"/>
      <c r="CX182" s="25"/>
      <c r="CY182" s="25"/>
      <c r="CZ182" s="25"/>
      <c r="DA182" s="25"/>
      <c r="DB182" s="25"/>
      <c r="DC182" s="25"/>
      <c r="DD182" s="25"/>
      <c r="DE182" s="25"/>
      <c r="DF182" s="25"/>
      <c r="DG182" s="25"/>
      <c r="DH182" s="25"/>
      <c r="DI182" s="25"/>
      <c r="DJ182" s="25"/>
      <c r="DK182" s="25"/>
      <c r="DL182" s="25"/>
      <c r="DM182" s="25"/>
      <c r="DN182" s="25"/>
      <c r="DO182" s="25"/>
      <c r="DP182" s="25"/>
      <c r="DQ182" s="25"/>
      <c r="DR182" s="25"/>
      <c r="DS182" s="25"/>
      <c r="DT182" s="25"/>
      <c r="DU182" s="25"/>
      <c r="DV182" s="25"/>
      <c r="DW182" s="25"/>
      <c r="DX182" s="25"/>
      <c r="DY182" s="25"/>
      <c r="DZ182" s="25"/>
      <c r="EA182" s="25"/>
      <c r="EB182" s="25"/>
      <c r="EC182" s="25"/>
      <c r="ED182" s="25"/>
      <c r="EE182" s="25"/>
      <c r="EF182" s="25"/>
      <c r="EG182" s="25"/>
      <c r="EH182" s="25"/>
      <c r="EI182" s="25"/>
      <c r="EJ182" s="25"/>
      <c r="EK182" s="25"/>
      <c r="EL182" s="25"/>
      <c r="EM182" s="25"/>
      <c r="EN182" s="25"/>
      <c r="EO182" s="25"/>
      <c r="EP182" s="25"/>
      <c r="EQ182" s="25"/>
      <c r="ER182" s="25"/>
      <c r="ES182" s="25"/>
      <c r="ET182" s="25"/>
    </row>
    <row r="183" spans="9:150" x14ac:dyDescent="0.25"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5"/>
      <c r="AL183" s="25"/>
      <c r="AM183" s="25"/>
      <c r="AN183" s="25"/>
      <c r="AO183" s="25"/>
      <c r="AP183" s="25"/>
      <c r="AQ183" s="25"/>
      <c r="AR183" s="25"/>
      <c r="AS183" s="25"/>
      <c r="AT183" s="25"/>
      <c r="AU183" s="25"/>
      <c r="AV183" s="25"/>
      <c r="AW183" s="25"/>
      <c r="AX183" s="25"/>
      <c r="AY183" s="25"/>
      <c r="AZ183" s="25"/>
      <c r="BA183" s="25"/>
      <c r="BB183" s="25"/>
      <c r="BC183" s="25"/>
      <c r="BD183" s="25"/>
      <c r="BE183" s="25"/>
      <c r="BF183" s="25"/>
      <c r="BG183" s="25"/>
      <c r="BH183" s="25"/>
      <c r="BI183" s="25"/>
      <c r="BJ183" s="25"/>
      <c r="BK183" s="25"/>
      <c r="BL183" s="25"/>
      <c r="BM183" s="25"/>
      <c r="BN183" s="25"/>
      <c r="BO183" s="25"/>
      <c r="BP183" s="25"/>
      <c r="BQ183" s="25"/>
      <c r="BR183" s="25"/>
      <c r="BS183" s="25"/>
      <c r="BT183" s="25"/>
      <c r="BU183" s="25"/>
      <c r="BV183" s="25"/>
      <c r="BW183" s="25"/>
      <c r="BX183" s="25"/>
      <c r="BY183" s="25"/>
      <c r="BZ183" s="25"/>
      <c r="CA183" s="25"/>
      <c r="CB183" s="25"/>
      <c r="CC183" s="25"/>
      <c r="CD183" s="25"/>
      <c r="CE183" s="25"/>
      <c r="CF183" s="25"/>
      <c r="CG183" s="25"/>
      <c r="CH183" s="25"/>
      <c r="CI183" s="25"/>
      <c r="CJ183" s="25"/>
      <c r="CK183" s="25"/>
      <c r="CL183" s="25"/>
      <c r="CM183" s="25"/>
      <c r="CN183" s="25"/>
      <c r="CO183" s="25"/>
      <c r="CP183" s="25"/>
      <c r="CQ183" s="25"/>
      <c r="CR183" s="25"/>
      <c r="CS183" s="25"/>
      <c r="CT183" s="25"/>
      <c r="CU183" s="25"/>
      <c r="CV183" s="25"/>
      <c r="CW183" s="25"/>
      <c r="CX183" s="25"/>
      <c r="CY183" s="25"/>
      <c r="CZ183" s="25"/>
      <c r="DA183" s="25"/>
      <c r="DB183" s="25"/>
      <c r="DC183" s="25"/>
      <c r="DD183" s="25"/>
      <c r="DE183" s="25"/>
      <c r="DF183" s="25"/>
      <c r="DG183" s="25"/>
      <c r="DH183" s="25"/>
      <c r="DI183" s="25"/>
      <c r="DJ183" s="25"/>
      <c r="DK183" s="25"/>
      <c r="DL183" s="25"/>
      <c r="DM183" s="25"/>
      <c r="DN183" s="25"/>
      <c r="DO183" s="25"/>
      <c r="DP183" s="25"/>
      <c r="DQ183" s="25"/>
      <c r="DR183" s="25"/>
      <c r="DS183" s="25"/>
      <c r="DT183" s="25"/>
      <c r="DU183" s="25"/>
      <c r="DV183" s="25"/>
      <c r="DW183" s="25"/>
      <c r="DX183" s="25"/>
      <c r="DY183" s="25"/>
      <c r="DZ183" s="25"/>
      <c r="EA183" s="25"/>
      <c r="EB183" s="25"/>
      <c r="EC183" s="25"/>
      <c r="ED183" s="25"/>
      <c r="EE183" s="25"/>
      <c r="EF183" s="25"/>
      <c r="EG183" s="25"/>
      <c r="EH183" s="25"/>
      <c r="EI183" s="25"/>
      <c r="EJ183" s="25"/>
      <c r="EK183" s="25"/>
      <c r="EL183" s="25"/>
      <c r="EM183" s="25"/>
      <c r="EN183" s="25"/>
      <c r="EO183" s="25"/>
      <c r="EP183" s="25"/>
      <c r="EQ183" s="25"/>
      <c r="ER183" s="25"/>
      <c r="ES183" s="25"/>
      <c r="ET183" s="25"/>
    </row>
    <row r="184" spans="9:150" x14ac:dyDescent="0.25"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5"/>
      <c r="AL184" s="25"/>
      <c r="AM184" s="25"/>
      <c r="AN184" s="25"/>
      <c r="AO184" s="25"/>
      <c r="AP184" s="25"/>
      <c r="AQ184" s="25"/>
      <c r="AR184" s="25"/>
      <c r="AS184" s="25"/>
      <c r="AT184" s="25"/>
      <c r="AU184" s="25"/>
      <c r="AV184" s="25"/>
      <c r="AW184" s="25"/>
      <c r="AX184" s="25"/>
      <c r="AY184" s="25"/>
      <c r="AZ184" s="25"/>
      <c r="BA184" s="25"/>
      <c r="BB184" s="25"/>
      <c r="BC184" s="25"/>
      <c r="BD184" s="25"/>
      <c r="BE184" s="25"/>
      <c r="BF184" s="25"/>
      <c r="BG184" s="25"/>
      <c r="BH184" s="25"/>
      <c r="BI184" s="25"/>
      <c r="BJ184" s="25"/>
      <c r="BK184" s="25"/>
      <c r="BL184" s="25"/>
      <c r="BM184" s="25"/>
      <c r="BN184" s="25"/>
      <c r="BO184" s="25"/>
      <c r="BP184" s="25"/>
      <c r="BQ184" s="25"/>
      <c r="BR184" s="25"/>
      <c r="BS184" s="25"/>
      <c r="BT184" s="25"/>
      <c r="BU184" s="25"/>
      <c r="BV184" s="25"/>
      <c r="BW184" s="25"/>
      <c r="BX184" s="25"/>
      <c r="BY184" s="25"/>
      <c r="BZ184" s="25"/>
      <c r="CA184" s="25"/>
      <c r="CB184" s="25"/>
      <c r="CC184" s="25"/>
      <c r="CD184" s="25"/>
      <c r="CE184" s="25"/>
      <c r="CF184" s="25"/>
      <c r="CG184" s="25"/>
      <c r="CH184" s="25"/>
      <c r="CI184" s="25"/>
      <c r="CJ184" s="25"/>
      <c r="CK184" s="25"/>
      <c r="CL184" s="25"/>
      <c r="CM184" s="25"/>
      <c r="CN184" s="25"/>
      <c r="CO184" s="25"/>
      <c r="CP184" s="25"/>
      <c r="CQ184" s="25"/>
      <c r="CR184" s="25"/>
      <c r="CS184" s="25"/>
      <c r="CT184" s="25"/>
      <c r="CU184" s="25"/>
      <c r="CV184" s="25"/>
      <c r="CW184" s="25"/>
      <c r="CX184" s="25"/>
      <c r="CY184" s="25"/>
      <c r="CZ184" s="25"/>
      <c r="DA184" s="25"/>
      <c r="DB184" s="25"/>
      <c r="DC184" s="25"/>
      <c r="DD184" s="25"/>
      <c r="DE184" s="25"/>
      <c r="DF184" s="25"/>
      <c r="DG184" s="25"/>
      <c r="DH184" s="25"/>
      <c r="DI184" s="25"/>
      <c r="DJ184" s="25"/>
      <c r="DK184" s="25"/>
      <c r="DL184" s="25"/>
      <c r="DM184" s="25"/>
      <c r="DN184" s="25"/>
      <c r="DO184" s="25"/>
      <c r="DP184" s="25"/>
      <c r="DQ184" s="25"/>
      <c r="DR184" s="25"/>
      <c r="DS184" s="25"/>
      <c r="DT184" s="25"/>
      <c r="DU184" s="25"/>
      <c r="DV184" s="25"/>
      <c r="DW184" s="25"/>
      <c r="DX184" s="25"/>
      <c r="DY184" s="25"/>
      <c r="DZ184" s="25"/>
      <c r="EA184" s="25"/>
      <c r="EB184" s="25"/>
      <c r="EC184" s="25"/>
      <c r="ED184" s="25"/>
      <c r="EE184" s="25"/>
      <c r="EF184" s="25"/>
      <c r="EG184" s="25"/>
      <c r="EH184" s="25"/>
      <c r="EI184" s="25"/>
      <c r="EJ184" s="25"/>
      <c r="EK184" s="25"/>
      <c r="EL184" s="25"/>
      <c r="EM184" s="25"/>
      <c r="EN184" s="25"/>
      <c r="EO184" s="25"/>
      <c r="EP184" s="25"/>
      <c r="EQ184" s="25"/>
      <c r="ER184" s="25"/>
      <c r="ES184" s="25"/>
      <c r="ET184" s="25"/>
    </row>
    <row r="185" spans="9:150" x14ac:dyDescent="0.25"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5"/>
      <c r="AL185" s="25"/>
      <c r="AM185" s="25"/>
      <c r="AN185" s="25"/>
      <c r="AO185" s="25"/>
      <c r="AP185" s="25"/>
      <c r="AQ185" s="25"/>
      <c r="AR185" s="25"/>
      <c r="AS185" s="25"/>
      <c r="AT185" s="25"/>
      <c r="AU185" s="25"/>
      <c r="AV185" s="25"/>
      <c r="AW185" s="25"/>
      <c r="AX185" s="25"/>
      <c r="AY185" s="25"/>
      <c r="AZ185" s="25"/>
      <c r="BA185" s="25"/>
      <c r="BB185" s="25"/>
      <c r="BC185" s="25"/>
      <c r="BD185" s="25"/>
      <c r="BE185" s="25"/>
      <c r="BF185" s="25"/>
      <c r="BG185" s="25"/>
      <c r="BH185" s="25"/>
      <c r="BI185" s="25"/>
      <c r="BJ185" s="25"/>
      <c r="BK185" s="25"/>
      <c r="BL185" s="25"/>
      <c r="BM185" s="25"/>
      <c r="BN185" s="25"/>
      <c r="BO185" s="25"/>
      <c r="BP185" s="25"/>
      <c r="BQ185" s="25"/>
      <c r="BR185" s="25"/>
      <c r="BS185" s="25"/>
      <c r="BT185" s="25"/>
      <c r="BU185" s="25"/>
      <c r="BV185" s="25"/>
      <c r="BW185" s="25"/>
      <c r="BX185" s="25"/>
      <c r="BY185" s="25"/>
      <c r="BZ185" s="25"/>
      <c r="CA185" s="25"/>
      <c r="CB185" s="25"/>
      <c r="CC185" s="25"/>
      <c r="CD185" s="25"/>
      <c r="CE185" s="25"/>
      <c r="CF185" s="25"/>
      <c r="CG185" s="25"/>
      <c r="CH185" s="25"/>
      <c r="CI185" s="25"/>
      <c r="CJ185" s="25"/>
      <c r="CK185" s="25"/>
      <c r="CL185" s="25"/>
      <c r="CM185" s="25"/>
      <c r="CN185" s="25"/>
      <c r="CO185" s="25"/>
      <c r="CP185" s="25"/>
      <c r="CQ185" s="25"/>
      <c r="CR185" s="25"/>
      <c r="CS185" s="25"/>
      <c r="CT185" s="25"/>
      <c r="CU185" s="25"/>
      <c r="CV185" s="25"/>
      <c r="CW185" s="25"/>
      <c r="CX185" s="25"/>
      <c r="CY185" s="25"/>
      <c r="CZ185" s="25"/>
      <c r="DA185" s="25"/>
      <c r="DB185" s="25"/>
      <c r="DC185" s="25"/>
      <c r="DD185" s="25"/>
      <c r="DE185" s="25"/>
      <c r="DF185" s="25"/>
      <c r="DG185" s="25"/>
      <c r="DH185" s="25"/>
      <c r="DI185" s="25"/>
      <c r="DJ185" s="25"/>
      <c r="DK185" s="25"/>
      <c r="DL185" s="25"/>
      <c r="DM185" s="25"/>
      <c r="DN185" s="25"/>
      <c r="DO185" s="25"/>
      <c r="DP185" s="25"/>
      <c r="DQ185" s="25"/>
      <c r="DR185" s="25"/>
      <c r="DS185" s="25"/>
      <c r="DT185" s="25"/>
      <c r="DU185" s="25"/>
      <c r="DV185" s="25"/>
      <c r="DW185" s="25"/>
      <c r="DX185" s="25"/>
      <c r="DY185" s="25"/>
      <c r="DZ185" s="25"/>
      <c r="EA185" s="25"/>
      <c r="EB185" s="25"/>
      <c r="EC185" s="25"/>
      <c r="ED185" s="25"/>
      <c r="EE185" s="25"/>
      <c r="EF185" s="25"/>
      <c r="EG185" s="25"/>
      <c r="EH185" s="25"/>
      <c r="EI185" s="25"/>
      <c r="EJ185" s="25"/>
      <c r="EK185" s="25"/>
      <c r="EL185" s="25"/>
      <c r="EM185" s="25"/>
      <c r="EN185" s="25"/>
      <c r="EO185" s="25"/>
      <c r="EP185" s="25"/>
      <c r="EQ185" s="25"/>
      <c r="ER185" s="25"/>
      <c r="ES185" s="25"/>
      <c r="ET185" s="25"/>
    </row>
    <row r="186" spans="9:150" x14ac:dyDescent="0.25"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5"/>
      <c r="AL186" s="25"/>
      <c r="AM186" s="25"/>
      <c r="AN186" s="25"/>
      <c r="AO186" s="25"/>
      <c r="AP186" s="25"/>
      <c r="AQ186" s="25"/>
      <c r="AR186" s="25"/>
      <c r="AS186" s="25"/>
      <c r="AT186" s="25"/>
      <c r="AU186" s="25"/>
      <c r="AV186" s="25"/>
      <c r="AW186" s="25"/>
      <c r="AX186" s="25"/>
      <c r="AY186" s="25"/>
      <c r="AZ186" s="25"/>
      <c r="BA186" s="25"/>
      <c r="BB186" s="25"/>
      <c r="BC186" s="25"/>
      <c r="BD186" s="25"/>
      <c r="BE186" s="25"/>
      <c r="BF186" s="25"/>
      <c r="BG186" s="25"/>
      <c r="BH186" s="25"/>
      <c r="BI186" s="25"/>
      <c r="BJ186" s="25"/>
      <c r="BK186" s="25"/>
      <c r="BL186" s="25"/>
      <c r="BM186" s="25"/>
      <c r="BN186" s="25"/>
      <c r="BO186" s="25"/>
      <c r="BP186" s="25"/>
      <c r="BQ186" s="25"/>
      <c r="BR186" s="25"/>
      <c r="BS186" s="25"/>
      <c r="BT186" s="25"/>
      <c r="BU186" s="25"/>
      <c r="BV186" s="25"/>
      <c r="BW186" s="25"/>
      <c r="BX186" s="25"/>
      <c r="BY186" s="25"/>
      <c r="BZ186" s="25"/>
      <c r="CA186" s="25"/>
      <c r="CB186" s="25"/>
      <c r="CC186" s="25"/>
      <c r="CD186" s="25"/>
      <c r="CE186" s="25"/>
      <c r="CF186" s="25"/>
      <c r="CG186" s="25"/>
      <c r="CH186" s="25"/>
      <c r="CI186" s="25"/>
      <c r="CJ186" s="25"/>
      <c r="CK186" s="25"/>
      <c r="CL186" s="25"/>
      <c r="CM186" s="25"/>
      <c r="CN186" s="25"/>
      <c r="CO186" s="25"/>
      <c r="CP186" s="25"/>
      <c r="CQ186" s="25"/>
      <c r="CR186" s="25"/>
      <c r="CS186" s="25"/>
      <c r="CT186" s="25"/>
      <c r="CU186" s="25"/>
      <c r="CV186" s="25"/>
      <c r="CW186" s="25"/>
      <c r="CX186" s="25"/>
      <c r="CY186" s="25"/>
      <c r="CZ186" s="25"/>
      <c r="DA186" s="25"/>
      <c r="DB186" s="25"/>
      <c r="DC186" s="25"/>
      <c r="DD186" s="25"/>
      <c r="DE186" s="25"/>
      <c r="DF186" s="25"/>
      <c r="DG186" s="25"/>
      <c r="DH186" s="25"/>
      <c r="DI186" s="25"/>
      <c r="DJ186" s="25"/>
      <c r="DK186" s="25"/>
      <c r="DL186" s="25"/>
      <c r="DM186" s="25"/>
      <c r="DN186" s="25"/>
      <c r="DO186" s="25"/>
      <c r="DP186" s="25"/>
      <c r="DQ186" s="25"/>
      <c r="DR186" s="25"/>
      <c r="DS186" s="25"/>
      <c r="DT186" s="25"/>
      <c r="DU186" s="25"/>
      <c r="DV186" s="25"/>
      <c r="DW186" s="25"/>
      <c r="DX186" s="25"/>
      <c r="DY186" s="25"/>
      <c r="DZ186" s="25"/>
      <c r="EA186" s="25"/>
      <c r="EB186" s="25"/>
      <c r="EC186" s="25"/>
      <c r="ED186" s="25"/>
      <c r="EE186" s="25"/>
      <c r="EF186" s="25"/>
      <c r="EG186" s="25"/>
      <c r="EH186" s="25"/>
      <c r="EI186" s="25"/>
      <c r="EJ186" s="25"/>
      <c r="EK186" s="25"/>
      <c r="EL186" s="25"/>
      <c r="EM186" s="25"/>
      <c r="EN186" s="25"/>
      <c r="EO186" s="25"/>
      <c r="EP186" s="25"/>
      <c r="EQ186" s="25"/>
      <c r="ER186" s="25"/>
      <c r="ES186" s="25"/>
      <c r="ET186" s="25"/>
    </row>
    <row r="187" spans="9:150" x14ac:dyDescent="0.25"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5"/>
      <c r="AL187" s="25"/>
      <c r="AM187" s="25"/>
      <c r="AN187" s="25"/>
      <c r="AO187" s="25"/>
      <c r="AP187" s="25"/>
      <c r="AQ187" s="25"/>
      <c r="AR187" s="25"/>
      <c r="AS187" s="25"/>
      <c r="AT187" s="25"/>
      <c r="AU187" s="25"/>
      <c r="AV187" s="25"/>
      <c r="AW187" s="25"/>
      <c r="AX187" s="25"/>
      <c r="AY187" s="25"/>
      <c r="AZ187" s="25"/>
      <c r="BA187" s="25"/>
      <c r="BB187" s="25"/>
      <c r="BC187" s="25"/>
      <c r="BD187" s="25"/>
      <c r="BE187" s="25"/>
      <c r="BF187" s="25"/>
      <c r="BG187" s="25"/>
      <c r="BH187" s="25"/>
      <c r="BI187" s="25"/>
      <c r="BJ187" s="25"/>
      <c r="BK187" s="25"/>
      <c r="BL187" s="25"/>
      <c r="BM187" s="25"/>
      <c r="BN187" s="25"/>
      <c r="BO187" s="25"/>
      <c r="BP187" s="25"/>
      <c r="BQ187" s="25"/>
      <c r="BR187" s="25"/>
      <c r="BS187" s="25"/>
      <c r="BT187" s="25"/>
      <c r="BU187" s="25"/>
      <c r="BV187" s="25"/>
      <c r="BW187" s="25"/>
      <c r="BX187" s="25"/>
      <c r="BY187" s="25"/>
      <c r="BZ187" s="25"/>
      <c r="CA187" s="25"/>
      <c r="CB187" s="25"/>
      <c r="CC187" s="25"/>
      <c r="CD187" s="25"/>
      <c r="CE187" s="25"/>
      <c r="CF187" s="25"/>
      <c r="CG187" s="25"/>
      <c r="CH187" s="25"/>
      <c r="CI187" s="25"/>
      <c r="CJ187" s="25"/>
      <c r="CK187" s="25"/>
      <c r="CL187" s="25"/>
      <c r="CM187" s="25"/>
      <c r="CN187" s="25"/>
      <c r="CO187" s="25"/>
      <c r="CP187" s="25"/>
      <c r="CQ187" s="25"/>
      <c r="CR187" s="25"/>
      <c r="CS187" s="25"/>
      <c r="CT187" s="25"/>
      <c r="CU187" s="25"/>
      <c r="CV187" s="25"/>
      <c r="CW187" s="25"/>
      <c r="CX187" s="25"/>
      <c r="CY187" s="25"/>
      <c r="CZ187" s="25"/>
      <c r="DA187" s="25"/>
      <c r="DB187" s="25"/>
      <c r="DC187" s="25"/>
      <c r="DD187" s="25"/>
      <c r="DE187" s="25"/>
      <c r="DF187" s="25"/>
      <c r="DG187" s="25"/>
      <c r="DH187" s="25"/>
      <c r="DI187" s="25"/>
      <c r="DJ187" s="25"/>
      <c r="DK187" s="25"/>
      <c r="DL187" s="25"/>
      <c r="DM187" s="25"/>
      <c r="DN187" s="25"/>
      <c r="DO187" s="25"/>
      <c r="DP187" s="25"/>
      <c r="DQ187" s="25"/>
      <c r="DR187" s="25"/>
      <c r="DS187" s="25"/>
      <c r="DT187" s="25"/>
      <c r="DU187" s="25"/>
      <c r="DV187" s="25"/>
      <c r="DW187" s="25"/>
      <c r="DX187" s="25"/>
      <c r="DY187" s="25"/>
      <c r="DZ187" s="25"/>
      <c r="EA187" s="25"/>
      <c r="EB187" s="25"/>
      <c r="EC187" s="25"/>
      <c r="ED187" s="25"/>
      <c r="EE187" s="25"/>
      <c r="EF187" s="25"/>
      <c r="EG187" s="25"/>
      <c r="EH187" s="25"/>
      <c r="EI187" s="25"/>
      <c r="EJ187" s="25"/>
      <c r="EK187" s="25"/>
      <c r="EL187" s="25"/>
      <c r="EM187" s="25"/>
      <c r="EN187" s="25"/>
      <c r="EO187" s="25"/>
      <c r="EP187" s="25"/>
      <c r="EQ187" s="25"/>
      <c r="ER187" s="25"/>
      <c r="ES187" s="25"/>
      <c r="ET187" s="25"/>
    </row>
    <row r="188" spans="9:150" x14ac:dyDescent="0.25"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5"/>
      <c r="AL188" s="25"/>
      <c r="AM188" s="25"/>
      <c r="AN188" s="25"/>
      <c r="AO188" s="25"/>
      <c r="AP188" s="25"/>
      <c r="AQ188" s="25"/>
      <c r="AR188" s="25"/>
      <c r="AS188" s="25"/>
      <c r="AT188" s="25"/>
      <c r="AU188" s="25"/>
      <c r="AV188" s="25"/>
      <c r="AW188" s="25"/>
      <c r="AX188" s="25"/>
      <c r="AY188" s="25"/>
      <c r="AZ188" s="25"/>
      <c r="BA188" s="25"/>
      <c r="BB188" s="25"/>
      <c r="BC188" s="25"/>
      <c r="BD188" s="25"/>
      <c r="BE188" s="25"/>
      <c r="BF188" s="25"/>
      <c r="BG188" s="25"/>
      <c r="BH188" s="25"/>
      <c r="BI188" s="25"/>
      <c r="BJ188" s="25"/>
      <c r="BK188" s="25"/>
      <c r="BL188" s="25"/>
      <c r="BM188" s="25"/>
      <c r="BN188" s="25"/>
      <c r="BO188" s="25"/>
      <c r="BP188" s="25"/>
      <c r="BQ188" s="25"/>
      <c r="BR188" s="25"/>
      <c r="BS188" s="25"/>
      <c r="BT188" s="25"/>
      <c r="BU188" s="25"/>
      <c r="BV188" s="25"/>
      <c r="BW188" s="25"/>
      <c r="BX188" s="25"/>
      <c r="BY188" s="25"/>
      <c r="BZ188" s="25"/>
      <c r="CA188" s="25"/>
      <c r="CB188" s="25"/>
      <c r="CC188" s="25"/>
      <c r="CD188" s="25"/>
      <c r="CE188" s="25"/>
      <c r="CF188" s="25"/>
      <c r="CG188" s="25"/>
      <c r="CH188" s="25"/>
      <c r="CI188" s="25"/>
      <c r="CJ188" s="25"/>
      <c r="CK188" s="25"/>
      <c r="CL188" s="25"/>
      <c r="CM188" s="25"/>
      <c r="CN188" s="25"/>
      <c r="CO188" s="25"/>
      <c r="CP188" s="25"/>
      <c r="CQ188" s="25"/>
      <c r="CR188" s="25"/>
      <c r="CS188" s="25"/>
      <c r="CT188" s="25"/>
      <c r="CU188" s="25"/>
      <c r="CV188" s="25"/>
      <c r="CW188" s="25"/>
      <c r="CX188" s="25"/>
      <c r="CY188" s="25"/>
      <c r="CZ188" s="25"/>
      <c r="DA188" s="25"/>
      <c r="DB188" s="25"/>
      <c r="DC188" s="25"/>
      <c r="DD188" s="25"/>
      <c r="DE188" s="25"/>
      <c r="DF188" s="25"/>
      <c r="DG188" s="25"/>
      <c r="DH188" s="25"/>
      <c r="DI188" s="25"/>
      <c r="DJ188" s="25"/>
      <c r="DK188" s="25"/>
      <c r="DL188" s="25"/>
      <c r="DM188" s="25"/>
      <c r="DN188" s="25"/>
      <c r="DO188" s="25"/>
      <c r="DP188" s="25"/>
      <c r="DQ188" s="25"/>
      <c r="DR188" s="25"/>
      <c r="DS188" s="25"/>
      <c r="DT188" s="25"/>
      <c r="DU188" s="25"/>
      <c r="DV188" s="25"/>
      <c r="DW188" s="25"/>
      <c r="DX188" s="25"/>
      <c r="DY188" s="25"/>
      <c r="DZ188" s="25"/>
      <c r="EA188" s="25"/>
      <c r="EB188" s="25"/>
      <c r="EC188" s="25"/>
      <c r="ED188" s="25"/>
      <c r="EE188" s="25"/>
      <c r="EF188" s="25"/>
      <c r="EG188" s="25"/>
      <c r="EH188" s="25"/>
      <c r="EI188" s="25"/>
      <c r="EJ188" s="25"/>
      <c r="EK188" s="25"/>
      <c r="EL188" s="25"/>
      <c r="EM188" s="25"/>
      <c r="EN188" s="25"/>
      <c r="EO188" s="25"/>
      <c r="EP188" s="25"/>
      <c r="EQ188" s="25"/>
      <c r="ER188" s="25"/>
      <c r="ES188" s="25"/>
      <c r="ET188" s="25"/>
    </row>
    <row r="189" spans="9:150" x14ac:dyDescent="0.25"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5"/>
      <c r="AL189" s="25"/>
      <c r="AM189" s="25"/>
      <c r="AN189" s="25"/>
      <c r="AO189" s="25"/>
      <c r="AP189" s="25"/>
      <c r="AQ189" s="25"/>
      <c r="AR189" s="25"/>
      <c r="AS189" s="25"/>
      <c r="AT189" s="25"/>
      <c r="AU189" s="25"/>
      <c r="AV189" s="25"/>
      <c r="AW189" s="25"/>
      <c r="AX189" s="25"/>
      <c r="AY189" s="25"/>
      <c r="AZ189" s="25"/>
      <c r="BA189" s="25"/>
      <c r="BB189" s="25"/>
      <c r="BC189" s="25"/>
      <c r="BD189" s="25"/>
      <c r="BE189" s="25"/>
      <c r="BF189" s="25"/>
      <c r="BG189" s="25"/>
      <c r="BH189" s="25"/>
      <c r="BI189" s="25"/>
      <c r="BJ189" s="25"/>
      <c r="BK189" s="25"/>
      <c r="BL189" s="25"/>
      <c r="BM189" s="25"/>
      <c r="BN189" s="25"/>
      <c r="BO189" s="25"/>
      <c r="BP189" s="25"/>
      <c r="BQ189" s="25"/>
      <c r="BR189" s="25"/>
      <c r="BS189" s="25"/>
      <c r="BT189" s="25"/>
      <c r="BU189" s="25"/>
      <c r="BV189" s="25"/>
      <c r="BW189" s="25"/>
      <c r="BX189" s="25"/>
      <c r="BY189" s="25"/>
      <c r="BZ189" s="25"/>
      <c r="CA189" s="25"/>
      <c r="CB189" s="25"/>
      <c r="CC189" s="25"/>
      <c r="CD189" s="25"/>
      <c r="CE189" s="25"/>
      <c r="CF189" s="25"/>
      <c r="CG189" s="25"/>
      <c r="CH189" s="25"/>
      <c r="CI189" s="25"/>
      <c r="CJ189" s="25"/>
      <c r="CK189" s="25"/>
      <c r="CL189" s="25"/>
      <c r="CM189" s="25"/>
      <c r="CN189" s="25"/>
      <c r="CO189" s="25"/>
      <c r="CP189" s="25"/>
      <c r="CQ189" s="25"/>
      <c r="CR189" s="25"/>
      <c r="CS189" s="25"/>
      <c r="CT189" s="25"/>
      <c r="CU189" s="25"/>
      <c r="CV189" s="25"/>
      <c r="CW189" s="25"/>
      <c r="CX189" s="25"/>
      <c r="CY189" s="25"/>
      <c r="CZ189" s="25"/>
      <c r="DA189" s="25"/>
      <c r="DB189" s="25"/>
      <c r="DC189" s="25"/>
      <c r="DD189" s="25"/>
      <c r="DE189" s="25"/>
      <c r="DF189" s="25"/>
      <c r="DG189" s="25"/>
      <c r="DH189" s="25"/>
      <c r="DI189" s="25"/>
      <c r="DJ189" s="25"/>
      <c r="DK189" s="25"/>
      <c r="DL189" s="25"/>
      <c r="DM189" s="25"/>
      <c r="DN189" s="25"/>
      <c r="DO189" s="25"/>
      <c r="DP189" s="25"/>
      <c r="DQ189" s="25"/>
      <c r="DR189" s="25"/>
      <c r="DS189" s="25"/>
      <c r="DT189" s="25"/>
      <c r="DU189" s="25"/>
      <c r="DV189" s="25"/>
      <c r="DW189" s="25"/>
      <c r="DX189" s="25"/>
      <c r="DY189" s="25"/>
      <c r="DZ189" s="25"/>
      <c r="EA189" s="25"/>
      <c r="EB189" s="25"/>
      <c r="EC189" s="25"/>
      <c r="ED189" s="25"/>
      <c r="EE189" s="25"/>
      <c r="EF189" s="25"/>
      <c r="EG189" s="25"/>
      <c r="EH189" s="25"/>
      <c r="EI189" s="25"/>
      <c r="EJ189" s="25"/>
      <c r="EK189" s="25"/>
      <c r="EL189" s="25"/>
      <c r="EM189" s="25"/>
      <c r="EN189" s="25"/>
      <c r="EO189" s="25"/>
      <c r="EP189" s="25"/>
      <c r="EQ189" s="25"/>
      <c r="ER189" s="25"/>
      <c r="ES189" s="25"/>
      <c r="ET189" s="25"/>
    </row>
    <row r="190" spans="9:150" x14ac:dyDescent="0.25"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5"/>
      <c r="AL190" s="25"/>
      <c r="AM190" s="25"/>
      <c r="AN190" s="25"/>
      <c r="AO190" s="25"/>
      <c r="AP190" s="25"/>
      <c r="AQ190" s="25"/>
      <c r="AR190" s="25"/>
      <c r="AS190" s="25"/>
      <c r="AT190" s="25"/>
      <c r="AU190" s="25"/>
      <c r="AV190" s="25"/>
      <c r="AW190" s="25"/>
      <c r="AX190" s="25"/>
      <c r="AY190" s="25"/>
      <c r="AZ190" s="25"/>
      <c r="BA190" s="25"/>
      <c r="BB190" s="25"/>
      <c r="BC190" s="25"/>
      <c r="BD190" s="25"/>
      <c r="BE190" s="25"/>
      <c r="BF190" s="25"/>
      <c r="BG190" s="25"/>
      <c r="BH190" s="25"/>
      <c r="BI190" s="25"/>
      <c r="BJ190" s="25"/>
      <c r="BK190" s="25"/>
      <c r="BL190" s="25"/>
      <c r="BM190" s="25"/>
      <c r="BN190" s="25"/>
      <c r="BO190" s="25"/>
      <c r="BP190" s="25"/>
      <c r="BQ190" s="25"/>
      <c r="BR190" s="25"/>
      <c r="BS190" s="25"/>
      <c r="BT190" s="25"/>
      <c r="BU190" s="25"/>
      <c r="BV190" s="25"/>
      <c r="BW190" s="25"/>
      <c r="BX190" s="25"/>
      <c r="BY190" s="25"/>
      <c r="BZ190" s="25"/>
      <c r="CA190" s="25"/>
      <c r="CB190" s="25"/>
      <c r="CC190" s="25"/>
      <c r="CD190" s="25"/>
      <c r="CE190" s="25"/>
      <c r="CF190" s="25"/>
      <c r="CG190" s="25"/>
      <c r="CH190" s="25"/>
      <c r="CI190" s="25"/>
      <c r="CJ190" s="25"/>
      <c r="CK190" s="25"/>
      <c r="CL190" s="25"/>
      <c r="CM190" s="25"/>
      <c r="CN190" s="25"/>
      <c r="CO190" s="25"/>
      <c r="CP190" s="25"/>
      <c r="CQ190" s="25"/>
      <c r="CR190" s="25"/>
      <c r="CS190" s="25"/>
      <c r="CT190" s="25"/>
      <c r="CU190" s="25"/>
      <c r="CV190" s="25"/>
      <c r="CW190" s="25"/>
      <c r="CX190" s="25"/>
      <c r="CY190" s="25"/>
      <c r="CZ190" s="25"/>
      <c r="DA190" s="25"/>
      <c r="DB190" s="25"/>
      <c r="DC190" s="25"/>
      <c r="DD190" s="25"/>
      <c r="DE190" s="25"/>
      <c r="DF190" s="25"/>
      <c r="DG190" s="25"/>
      <c r="DH190" s="25"/>
      <c r="DI190" s="25"/>
      <c r="DJ190" s="25"/>
      <c r="DK190" s="25"/>
      <c r="DL190" s="25"/>
      <c r="DM190" s="25"/>
      <c r="DN190" s="25"/>
      <c r="DO190" s="25"/>
      <c r="DP190" s="25"/>
      <c r="DQ190" s="25"/>
      <c r="DR190" s="25"/>
      <c r="DS190" s="25"/>
      <c r="DT190" s="25"/>
      <c r="DU190" s="25"/>
      <c r="DV190" s="25"/>
      <c r="DW190" s="25"/>
      <c r="DX190" s="25"/>
      <c r="DY190" s="25"/>
      <c r="DZ190" s="25"/>
      <c r="EA190" s="25"/>
      <c r="EB190" s="25"/>
      <c r="EC190" s="25"/>
      <c r="ED190" s="25"/>
      <c r="EE190" s="25"/>
      <c r="EF190" s="25"/>
      <c r="EG190" s="25"/>
      <c r="EH190" s="25"/>
      <c r="EI190" s="25"/>
      <c r="EJ190" s="25"/>
      <c r="EK190" s="25"/>
      <c r="EL190" s="25"/>
      <c r="EM190" s="25"/>
      <c r="EN190" s="25"/>
      <c r="EO190" s="25"/>
      <c r="EP190" s="25"/>
      <c r="EQ190" s="25"/>
      <c r="ER190" s="25"/>
      <c r="ES190" s="25"/>
      <c r="ET190" s="25"/>
    </row>
    <row r="191" spans="9:150" x14ac:dyDescent="0.25"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25"/>
      <c r="AL191" s="25"/>
      <c r="AM191" s="25"/>
      <c r="AN191" s="25"/>
      <c r="AO191" s="25"/>
      <c r="AP191" s="25"/>
      <c r="AQ191" s="25"/>
      <c r="AR191" s="25"/>
      <c r="AS191" s="25"/>
      <c r="AT191" s="25"/>
      <c r="AU191" s="25"/>
      <c r="AV191" s="25"/>
      <c r="AW191" s="25"/>
      <c r="AX191" s="25"/>
      <c r="AY191" s="25"/>
      <c r="AZ191" s="25"/>
      <c r="BA191" s="25"/>
      <c r="BB191" s="25"/>
      <c r="BC191" s="25"/>
      <c r="BD191" s="25"/>
      <c r="BE191" s="25"/>
      <c r="BF191" s="25"/>
      <c r="BG191" s="25"/>
      <c r="BH191" s="25"/>
      <c r="BI191" s="25"/>
      <c r="BJ191" s="25"/>
      <c r="BK191" s="25"/>
      <c r="BL191" s="25"/>
      <c r="BM191" s="25"/>
      <c r="BN191" s="25"/>
      <c r="BO191" s="25"/>
      <c r="BP191" s="25"/>
      <c r="BQ191" s="25"/>
      <c r="BR191" s="25"/>
      <c r="BS191" s="25"/>
      <c r="BT191" s="25"/>
      <c r="BU191" s="25"/>
      <c r="BV191" s="25"/>
      <c r="BW191" s="25"/>
      <c r="BX191" s="25"/>
      <c r="BY191" s="25"/>
      <c r="BZ191" s="25"/>
      <c r="CA191" s="25"/>
      <c r="CB191" s="25"/>
      <c r="CC191" s="25"/>
      <c r="CD191" s="25"/>
      <c r="CE191" s="25"/>
      <c r="CF191" s="25"/>
      <c r="CG191" s="25"/>
      <c r="CH191" s="25"/>
      <c r="CI191" s="25"/>
      <c r="CJ191" s="25"/>
      <c r="CK191" s="25"/>
      <c r="CL191" s="25"/>
      <c r="CM191" s="25"/>
      <c r="CN191" s="25"/>
      <c r="CO191" s="25"/>
      <c r="CP191" s="25"/>
      <c r="CQ191" s="25"/>
      <c r="CR191" s="25"/>
      <c r="CS191" s="25"/>
      <c r="CT191" s="25"/>
      <c r="CU191" s="25"/>
      <c r="CV191" s="25"/>
      <c r="CW191" s="25"/>
      <c r="CX191" s="25"/>
      <c r="CY191" s="25"/>
      <c r="CZ191" s="25"/>
      <c r="DA191" s="25"/>
      <c r="DB191" s="25"/>
      <c r="DC191" s="25"/>
      <c r="DD191" s="25"/>
      <c r="DE191" s="25"/>
      <c r="DF191" s="25"/>
      <c r="DG191" s="25"/>
      <c r="DH191" s="25"/>
      <c r="DI191" s="25"/>
      <c r="DJ191" s="25"/>
      <c r="DK191" s="25"/>
      <c r="DL191" s="25"/>
      <c r="DM191" s="25"/>
      <c r="DN191" s="25"/>
      <c r="DO191" s="25"/>
      <c r="DP191" s="25"/>
      <c r="DQ191" s="25"/>
      <c r="DR191" s="25"/>
      <c r="DS191" s="25"/>
      <c r="DT191" s="25"/>
      <c r="DU191" s="25"/>
      <c r="DV191" s="25"/>
      <c r="DW191" s="25"/>
      <c r="DX191" s="25"/>
      <c r="DY191" s="25"/>
      <c r="DZ191" s="25"/>
      <c r="EA191" s="25"/>
      <c r="EB191" s="25"/>
      <c r="EC191" s="25"/>
      <c r="ED191" s="25"/>
      <c r="EE191" s="25"/>
      <c r="EF191" s="25"/>
      <c r="EG191" s="25"/>
      <c r="EH191" s="25"/>
      <c r="EI191" s="25"/>
      <c r="EJ191" s="25"/>
      <c r="EK191" s="25"/>
      <c r="EL191" s="25"/>
      <c r="EM191" s="25"/>
      <c r="EN191" s="25"/>
      <c r="EO191" s="25"/>
      <c r="EP191" s="25"/>
      <c r="EQ191" s="25"/>
      <c r="ER191" s="25"/>
      <c r="ES191" s="25"/>
      <c r="ET191" s="25"/>
    </row>
    <row r="192" spans="9:150" x14ac:dyDescent="0.25"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25"/>
      <c r="AL192" s="25"/>
      <c r="AM192" s="25"/>
      <c r="AN192" s="25"/>
      <c r="AO192" s="25"/>
      <c r="AP192" s="25"/>
      <c r="AQ192" s="25"/>
      <c r="AR192" s="25"/>
      <c r="AS192" s="25"/>
      <c r="AT192" s="25"/>
      <c r="AU192" s="25"/>
      <c r="AV192" s="25"/>
      <c r="AW192" s="25"/>
      <c r="AX192" s="25"/>
      <c r="AY192" s="25"/>
      <c r="AZ192" s="25"/>
      <c r="BA192" s="25"/>
      <c r="BB192" s="25"/>
      <c r="BC192" s="25"/>
      <c r="BD192" s="25"/>
      <c r="BE192" s="25"/>
      <c r="BF192" s="25"/>
      <c r="BG192" s="25"/>
      <c r="BH192" s="25"/>
      <c r="BI192" s="25"/>
      <c r="BJ192" s="25"/>
      <c r="BK192" s="25"/>
      <c r="BL192" s="25"/>
      <c r="BM192" s="25"/>
      <c r="BN192" s="25"/>
      <c r="BO192" s="25"/>
      <c r="BP192" s="25"/>
      <c r="BQ192" s="25"/>
      <c r="BR192" s="25"/>
      <c r="BS192" s="25"/>
      <c r="BT192" s="25"/>
      <c r="BU192" s="25"/>
      <c r="BV192" s="25"/>
      <c r="BW192" s="25"/>
      <c r="BX192" s="25"/>
      <c r="BY192" s="25"/>
      <c r="BZ192" s="25"/>
      <c r="CA192" s="25"/>
      <c r="CB192" s="25"/>
      <c r="CC192" s="25"/>
      <c r="CD192" s="25"/>
      <c r="CE192" s="25"/>
      <c r="CF192" s="25"/>
      <c r="CG192" s="25"/>
      <c r="CH192" s="25"/>
      <c r="CI192" s="25"/>
      <c r="CJ192" s="25"/>
      <c r="CK192" s="25"/>
      <c r="CL192" s="25"/>
      <c r="CM192" s="25"/>
      <c r="CN192" s="25"/>
      <c r="CO192" s="25"/>
      <c r="CP192" s="25"/>
      <c r="CQ192" s="25"/>
      <c r="CR192" s="25"/>
      <c r="CS192" s="25"/>
      <c r="CT192" s="25"/>
      <c r="CU192" s="25"/>
      <c r="CV192" s="25"/>
      <c r="CW192" s="25"/>
      <c r="CX192" s="25"/>
      <c r="CY192" s="25"/>
      <c r="CZ192" s="25"/>
      <c r="DA192" s="25"/>
      <c r="DB192" s="25"/>
      <c r="DC192" s="25"/>
      <c r="DD192" s="25"/>
      <c r="DE192" s="25"/>
      <c r="DF192" s="25"/>
      <c r="DG192" s="25"/>
      <c r="DH192" s="25"/>
      <c r="DI192" s="25"/>
      <c r="DJ192" s="25"/>
      <c r="DK192" s="25"/>
      <c r="DL192" s="25"/>
      <c r="DM192" s="25"/>
      <c r="DN192" s="25"/>
      <c r="DO192" s="25"/>
      <c r="DP192" s="25"/>
      <c r="DQ192" s="25"/>
      <c r="DR192" s="25"/>
      <c r="DS192" s="25"/>
      <c r="DT192" s="25"/>
      <c r="DU192" s="25"/>
      <c r="DV192" s="25"/>
      <c r="DW192" s="25"/>
      <c r="DX192" s="25"/>
      <c r="DY192" s="25"/>
      <c r="DZ192" s="25"/>
      <c r="EA192" s="25"/>
      <c r="EB192" s="25"/>
      <c r="EC192" s="25"/>
      <c r="ED192" s="25"/>
      <c r="EE192" s="25"/>
      <c r="EF192" s="25"/>
      <c r="EG192" s="25"/>
      <c r="EH192" s="25"/>
      <c r="EI192" s="25"/>
      <c r="EJ192" s="25"/>
      <c r="EK192" s="25"/>
      <c r="EL192" s="25"/>
      <c r="EM192" s="25"/>
      <c r="EN192" s="25"/>
      <c r="EO192" s="25"/>
      <c r="EP192" s="25"/>
      <c r="EQ192" s="25"/>
      <c r="ER192" s="25"/>
      <c r="ES192" s="25"/>
      <c r="ET192" s="25"/>
    </row>
    <row r="193" spans="9:150" x14ac:dyDescent="0.25"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 s="25"/>
      <c r="AL193" s="25"/>
      <c r="AM193" s="25"/>
      <c r="AN193" s="25"/>
      <c r="AO193" s="25"/>
      <c r="AP193" s="25"/>
      <c r="AQ193" s="25"/>
      <c r="AR193" s="25"/>
      <c r="AS193" s="25"/>
      <c r="AT193" s="25"/>
      <c r="AU193" s="25"/>
      <c r="AV193" s="25"/>
      <c r="AW193" s="25"/>
      <c r="AX193" s="25"/>
      <c r="AY193" s="25"/>
      <c r="AZ193" s="25"/>
      <c r="BA193" s="25"/>
      <c r="BB193" s="25"/>
      <c r="BC193" s="25"/>
      <c r="BD193" s="25"/>
      <c r="BE193" s="25"/>
      <c r="BF193" s="25"/>
      <c r="BG193" s="25"/>
      <c r="BH193" s="25"/>
      <c r="BI193" s="25"/>
      <c r="BJ193" s="25"/>
      <c r="BK193" s="25"/>
      <c r="BL193" s="25"/>
      <c r="BM193" s="25"/>
      <c r="BN193" s="25"/>
      <c r="BO193" s="25"/>
      <c r="BP193" s="25"/>
      <c r="BQ193" s="25"/>
      <c r="BR193" s="25"/>
      <c r="BS193" s="25"/>
      <c r="BT193" s="25"/>
      <c r="BU193" s="25"/>
      <c r="BV193" s="25"/>
      <c r="BW193" s="25"/>
      <c r="BX193" s="25"/>
      <c r="BY193" s="25"/>
      <c r="BZ193" s="25"/>
      <c r="CA193" s="25"/>
      <c r="CB193" s="25"/>
      <c r="CC193" s="25"/>
      <c r="CD193" s="25"/>
      <c r="CE193" s="25"/>
      <c r="CF193" s="25"/>
      <c r="CG193" s="25"/>
      <c r="CH193" s="25"/>
      <c r="CI193" s="25"/>
      <c r="CJ193" s="25"/>
      <c r="CK193" s="25"/>
      <c r="CL193" s="25"/>
      <c r="CM193" s="25"/>
      <c r="CN193" s="25"/>
      <c r="CO193" s="25"/>
      <c r="CP193" s="25"/>
      <c r="CQ193" s="25"/>
      <c r="CR193" s="25"/>
      <c r="CS193" s="25"/>
      <c r="CT193" s="25"/>
      <c r="CU193" s="25"/>
      <c r="CV193" s="25"/>
      <c r="CW193" s="25"/>
      <c r="CX193" s="25"/>
      <c r="CY193" s="25"/>
      <c r="CZ193" s="25"/>
      <c r="DA193" s="25"/>
      <c r="DB193" s="25"/>
      <c r="DC193" s="25"/>
      <c r="DD193" s="25"/>
      <c r="DE193" s="25"/>
      <c r="DF193" s="25"/>
      <c r="DG193" s="25"/>
      <c r="DH193" s="25"/>
      <c r="DI193" s="25"/>
      <c r="DJ193" s="25"/>
      <c r="DK193" s="25"/>
      <c r="DL193" s="25"/>
      <c r="DM193" s="25"/>
      <c r="DN193" s="25"/>
      <c r="DO193" s="25"/>
      <c r="DP193" s="25"/>
      <c r="DQ193" s="25"/>
      <c r="DR193" s="25"/>
      <c r="DS193" s="25"/>
      <c r="DT193" s="25"/>
      <c r="DU193" s="25"/>
      <c r="DV193" s="25"/>
      <c r="DW193" s="25"/>
      <c r="DX193" s="25"/>
      <c r="DY193" s="25"/>
      <c r="DZ193" s="25"/>
      <c r="EA193" s="25"/>
      <c r="EB193" s="25"/>
      <c r="EC193" s="25"/>
      <c r="ED193" s="25"/>
      <c r="EE193" s="25"/>
      <c r="EF193" s="25"/>
      <c r="EG193" s="25"/>
      <c r="EH193" s="25"/>
      <c r="EI193" s="25"/>
      <c r="EJ193" s="25"/>
      <c r="EK193" s="25"/>
      <c r="EL193" s="25"/>
      <c r="EM193" s="25"/>
      <c r="EN193" s="25"/>
      <c r="EO193" s="25"/>
      <c r="EP193" s="25"/>
      <c r="EQ193" s="25"/>
      <c r="ER193" s="25"/>
      <c r="ES193" s="25"/>
      <c r="ET193" s="25"/>
    </row>
    <row r="194" spans="9:150" x14ac:dyDescent="0.25"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 s="25"/>
      <c r="AL194" s="25"/>
      <c r="AM194" s="25"/>
      <c r="AN194" s="25"/>
      <c r="AO194" s="25"/>
      <c r="AP194" s="25"/>
      <c r="AQ194" s="25"/>
      <c r="AR194" s="25"/>
      <c r="AS194" s="25"/>
      <c r="AT194" s="25"/>
      <c r="AU194" s="25"/>
      <c r="AV194" s="25"/>
      <c r="AW194" s="25"/>
      <c r="AX194" s="25"/>
      <c r="AY194" s="25"/>
      <c r="AZ194" s="25"/>
      <c r="BA194" s="25"/>
      <c r="BB194" s="25"/>
      <c r="BC194" s="25"/>
      <c r="BD194" s="25"/>
      <c r="BE194" s="25"/>
      <c r="BF194" s="25"/>
      <c r="BG194" s="25"/>
      <c r="BH194" s="25"/>
      <c r="BI194" s="25"/>
      <c r="BJ194" s="25"/>
      <c r="BK194" s="25"/>
      <c r="BL194" s="25"/>
      <c r="BM194" s="25"/>
      <c r="BN194" s="25"/>
      <c r="BO194" s="25"/>
      <c r="BP194" s="25"/>
      <c r="BQ194" s="25"/>
      <c r="BR194" s="25"/>
      <c r="BS194" s="25"/>
      <c r="BT194" s="25"/>
      <c r="BU194" s="25"/>
      <c r="BV194" s="25"/>
      <c r="BW194" s="25"/>
      <c r="BX194" s="25"/>
      <c r="BY194" s="25"/>
      <c r="BZ194" s="25"/>
      <c r="CA194" s="25"/>
      <c r="CB194" s="25"/>
      <c r="CC194" s="25"/>
      <c r="CD194" s="25"/>
      <c r="CE194" s="25"/>
      <c r="CF194" s="25"/>
      <c r="CG194" s="25"/>
      <c r="CH194" s="25"/>
      <c r="CI194" s="25"/>
      <c r="CJ194" s="25"/>
      <c r="CK194" s="25"/>
      <c r="CL194" s="25"/>
      <c r="CM194" s="25"/>
      <c r="CN194" s="25"/>
      <c r="CO194" s="25"/>
      <c r="CP194" s="25"/>
      <c r="CQ194" s="25"/>
      <c r="CR194" s="25"/>
      <c r="CS194" s="25"/>
      <c r="CT194" s="25"/>
      <c r="CU194" s="25"/>
      <c r="CV194" s="25"/>
      <c r="CW194" s="25"/>
      <c r="CX194" s="25"/>
      <c r="CY194" s="25"/>
      <c r="CZ194" s="25"/>
      <c r="DA194" s="25"/>
      <c r="DB194" s="25"/>
      <c r="DC194" s="25"/>
      <c r="DD194" s="25"/>
      <c r="DE194" s="25"/>
      <c r="DF194" s="25"/>
      <c r="DG194" s="25"/>
      <c r="DH194" s="25"/>
      <c r="DI194" s="25"/>
      <c r="DJ194" s="25"/>
      <c r="DK194" s="25"/>
      <c r="DL194" s="25"/>
      <c r="DM194" s="25"/>
      <c r="DN194" s="25"/>
      <c r="DO194" s="25"/>
      <c r="DP194" s="25"/>
      <c r="DQ194" s="25"/>
      <c r="DR194" s="25"/>
      <c r="DS194" s="25"/>
      <c r="DT194" s="25"/>
      <c r="DU194" s="25"/>
      <c r="DV194" s="25"/>
      <c r="DW194" s="25"/>
      <c r="DX194" s="25"/>
      <c r="DY194" s="25"/>
      <c r="DZ194" s="25"/>
      <c r="EA194" s="25"/>
      <c r="EB194" s="25"/>
      <c r="EC194" s="25"/>
      <c r="ED194" s="25"/>
      <c r="EE194" s="25"/>
      <c r="EF194" s="25"/>
      <c r="EG194" s="25"/>
      <c r="EH194" s="25"/>
      <c r="EI194" s="25"/>
      <c r="EJ194" s="25"/>
      <c r="EK194" s="25"/>
      <c r="EL194" s="25"/>
      <c r="EM194" s="25"/>
      <c r="EN194" s="25"/>
      <c r="EO194" s="25"/>
      <c r="EP194" s="25"/>
      <c r="EQ194" s="25"/>
      <c r="ER194" s="25"/>
      <c r="ES194" s="25"/>
      <c r="ET194" s="25"/>
    </row>
    <row r="195" spans="9:150" x14ac:dyDescent="0.25"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 s="25"/>
      <c r="AL195" s="25"/>
      <c r="AM195" s="25"/>
      <c r="AN195" s="25"/>
      <c r="AO195" s="25"/>
      <c r="AP195" s="25"/>
      <c r="AQ195" s="25"/>
      <c r="AR195" s="25"/>
      <c r="AS195" s="25"/>
      <c r="AT195" s="25"/>
      <c r="AU195" s="25"/>
      <c r="AV195" s="25"/>
      <c r="AW195" s="25"/>
      <c r="AX195" s="25"/>
      <c r="AY195" s="25"/>
      <c r="AZ195" s="25"/>
      <c r="BA195" s="25"/>
      <c r="BB195" s="25"/>
      <c r="BC195" s="25"/>
      <c r="BD195" s="25"/>
      <c r="BE195" s="25"/>
      <c r="BF195" s="25"/>
      <c r="BG195" s="25"/>
      <c r="BH195" s="25"/>
      <c r="BI195" s="25"/>
      <c r="BJ195" s="25"/>
      <c r="BK195" s="25"/>
      <c r="BL195" s="25"/>
      <c r="BM195" s="25"/>
      <c r="BN195" s="25"/>
      <c r="BO195" s="25"/>
      <c r="BP195" s="25"/>
      <c r="BQ195" s="25"/>
      <c r="BR195" s="25"/>
      <c r="BS195" s="25"/>
      <c r="BT195" s="25"/>
      <c r="BU195" s="25"/>
      <c r="BV195" s="25"/>
      <c r="BW195" s="25"/>
      <c r="BX195" s="25"/>
      <c r="BY195" s="25"/>
      <c r="BZ195" s="25"/>
      <c r="CA195" s="25"/>
      <c r="CB195" s="25"/>
      <c r="CC195" s="25"/>
      <c r="CD195" s="25"/>
      <c r="CE195" s="25"/>
      <c r="CF195" s="25"/>
      <c r="CG195" s="25"/>
      <c r="CH195" s="25"/>
      <c r="CI195" s="25"/>
      <c r="CJ195" s="25"/>
      <c r="CK195" s="25"/>
      <c r="CL195" s="25"/>
      <c r="CM195" s="25"/>
      <c r="CN195" s="25"/>
      <c r="CO195" s="25"/>
      <c r="CP195" s="25"/>
      <c r="CQ195" s="25"/>
      <c r="CR195" s="25"/>
      <c r="CS195" s="25"/>
      <c r="CT195" s="25"/>
      <c r="CU195" s="25"/>
      <c r="CV195" s="25"/>
      <c r="CW195" s="25"/>
      <c r="CX195" s="25"/>
      <c r="CY195" s="25"/>
      <c r="CZ195" s="25"/>
      <c r="DA195" s="25"/>
      <c r="DB195" s="25"/>
      <c r="DC195" s="25"/>
      <c r="DD195" s="25"/>
      <c r="DE195" s="25"/>
      <c r="DF195" s="25"/>
      <c r="DG195" s="25"/>
      <c r="DH195" s="25"/>
      <c r="DI195" s="25"/>
      <c r="DJ195" s="25"/>
      <c r="DK195" s="25"/>
      <c r="DL195" s="25"/>
      <c r="DM195" s="25"/>
      <c r="DN195" s="25"/>
      <c r="DO195" s="25"/>
      <c r="DP195" s="25"/>
      <c r="DQ195" s="25"/>
      <c r="DR195" s="25"/>
      <c r="DS195" s="25"/>
      <c r="DT195" s="25"/>
      <c r="DU195" s="25"/>
      <c r="DV195" s="25"/>
      <c r="DW195" s="25"/>
      <c r="DX195" s="25"/>
      <c r="DY195" s="25"/>
      <c r="DZ195" s="25"/>
      <c r="EA195" s="25"/>
      <c r="EB195" s="25"/>
      <c r="EC195" s="25"/>
      <c r="ED195" s="25"/>
      <c r="EE195" s="25"/>
      <c r="EF195" s="25"/>
      <c r="EG195" s="25"/>
      <c r="EH195" s="25"/>
      <c r="EI195" s="25"/>
      <c r="EJ195" s="25"/>
      <c r="EK195" s="25"/>
      <c r="EL195" s="25"/>
      <c r="EM195" s="25"/>
      <c r="EN195" s="25"/>
      <c r="EO195" s="25"/>
      <c r="EP195" s="25"/>
      <c r="EQ195" s="25"/>
      <c r="ER195" s="25"/>
      <c r="ES195" s="25"/>
      <c r="ET195" s="25"/>
    </row>
    <row r="196" spans="9:150" x14ac:dyDescent="0.25"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 s="25"/>
      <c r="AL196" s="25"/>
      <c r="AM196" s="25"/>
      <c r="AN196" s="25"/>
      <c r="AO196" s="25"/>
      <c r="AP196" s="25"/>
      <c r="AQ196" s="25"/>
      <c r="AR196" s="25"/>
      <c r="AS196" s="25"/>
      <c r="AT196" s="25"/>
      <c r="AU196" s="25"/>
      <c r="AV196" s="25"/>
      <c r="AW196" s="25"/>
      <c r="AX196" s="25"/>
      <c r="AY196" s="25"/>
      <c r="AZ196" s="25"/>
      <c r="BA196" s="25"/>
      <c r="BB196" s="25"/>
      <c r="BC196" s="25"/>
      <c r="BD196" s="25"/>
      <c r="BE196" s="25"/>
      <c r="BF196" s="25"/>
      <c r="BG196" s="25"/>
      <c r="BH196" s="25"/>
      <c r="BI196" s="25"/>
      <c r="BJ196" s="25"/>
      <c r="BK196" s="25"/>
      <c r="BL196" s="25"/>
      <c r="BM196" s="25"/>
      <c r="BN196" s="25"/>
      <c r="BO196" s="25"/>
      <c r="BP196" s="25"/>
      <c r="BQ196" s="25"/>
      <c r="BR196" s="25"/>
      <c r="BS196" s="25"/>
      <c r="BT196" s="25"/>
      <c r="BU196" s="25"/>
      <c r="BV196" s="25"/>
      <c r="BW196" s="25"/>
      <c r="BX196" s="25"/>
      <c r="BY196" s="25"/>
      <c r="BZ196" s="25"/>
      <c r="CA196" s="25"/>
      <c r="CB196" s="25"/>
      <c r="CC196" s="25"/>
      <c r="CD196" s="25"/>
      <c r="CE196" s="25"/>
      <c r="CF196" s="25"/>
      <c r="CG196" s="25"/>
      <c r="CH196" s="25"/>
      <c r="CI196" s="25"/>
      <c r="CJ196" s="25"/>
      <c r="CK196" s="25"/>
      <c r="CL196" s="25"/>
      <c r="CM196" s="25"/>
      <c r="CN196" s="25"/>
      <c r="CO196" s="25"/>
      <c r="CP196" s="25"/>
      <c r="CQ196" s="25"/>
      <c r="CR196" s="25"/>
      <c r="CS196" s="25"/>
      <c r="CT196" s="25"/>
      <c r="CU196" s="25"/>
      <c r="CV196" s="25"/>
      <c r="CW196" s="25"/>
      <c r="CX196" s="25"/>
      <c r="CY196" s="25"/>
      <c r="CZ196" s="25"/>
      <c r="DA196" s="25"/>
      <c r="DB196" s="25"/>
      <c r="DC196" s="25"/>
      <c r="DD196" s="25"/>
      <c r="DE196" s="25"/>
      <c r="DF196" s="25"/>
      <c r="DG196" s="25"/>
      <c r="DH196" s="25"/>
      <c r="DI196" s="25"/>
      <c r="DJ196" s="25"/>
      <c r="DK196" s="25"/>
      <c r="DL196" s="25"/>
      <c r="DM196" s="25"/>
      <c r="DN196" s="25"/>
      <c r="DO196" s="25"/>
      <c r="DP196" s="25"/>
      <c r="DQ196" s="25"/>
      <c r="DR196" s="25"/>
      <c r="DS196" s="25"/>
      <c r="DT196" s="25"/>
      <c r="DU196" s="25"/>
      <c r="DV196" s="25"/>
      <c r="DW196" s="25"/>
      <c r="DX196" s="25"/>
      <c r="DY196" s="25"/>
      <c r="DZ196" s="25"/>
      <c r="EA196" s="25"/>
      <c r="EB196" s="25"/>
      <c r="EC196" s="25"/>
      <c r="ED196" s="25"/>
      <c r="EE196" s="25"/>
      <c r="EF196" s="25"/>
      <c r="EG196" s="25"/>
      <c r="EH196" s="25"/>
      <c r="EI196" s="25"/>
      <c r="EJ196" s="25"/>
      <c r="EK196" s="25"/>
      <c r="EL196" s="25"/>
      <c r="EM196" s="25"/>
      <c r="EN196" s="25"/>
      <c r="EO196" s="25"/>
      <c r="EP196" s="25"/>
      <c r="EQ196" s="25"/>
      <c r="ER196" s="25"/>
      <c r="ES196" s="25"/>
      <c r="ET196" s="25"/>
    </row>
    <row r="197" spans="9:150" x14ac:dyDescent="0.25"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 s="25"/>
      <c r="AL197" s="25"/>
      <c r="AM197" s="25"/>
      <c r="AN197" s="25"/>
      <c r="AO197" s="25"/>
      <c r="AP197" s="25"/>
      <c r="AQ197" s="25"/>
      <c r="AR197" s="25"/>
      <c r="AS197" s="25"/>
      <c r="AT197" s="25"/>
      <c r="AU197" s="25"/>
      <c r="AV197" s="25"/>
      <c r="AW197" s="25"/>
      <c r="AX197" s="25"/>
      <c r="AY197" s="25"/>
      <c r="AZ197" s="25"/>
      <c r="BA197" s="25"/>
      <c r="BB197" s="25"/>
      <c r="BC197" s="25"/>
      <c r="BD197" s="25"/>
      <c r="BE197" s="25"/>
      <c r="BF197" s="25"/>
      <c r="BG197" s="25"/>
      <c r="BH197" s="25"/>
      <c r="BI197" s="25"/>
      <c r="BJ197" s="25"/>
      <c r="BK197" s="25"/>
      <c r="BL197" s="25"/>
      <c r="BM197" s="25"/>
      <c r="BN197" s="25"/>
      <c r="BO197" s="25"/>
      <c r="BP197" s="25"/>
      <c r="BQ197" s="25"/>
      <c r="BR197" s="25"/>
      <c r="BS197" s="25"/>
      <c r="BT197" s="25"/>
      <c r="BU197" s="25"/>
      <c r="BV197" s="25"/>
      <c r="BW197" s="25"/>
      <c r="BX197" s="25"/>
      <c r="BY197" s="25"/>
      <c r="BZ197" s="25"/>
      <c r="CA197" s="25"/>
      <c r="CB197" s="25"/>
      <c r="CC197" s="25"/>
      <c r="CD197" s="25"/>
      <c r="CE197" s="25"/>
      <c r="CF197" s="25"/>
      <c r="CG197" s="25"/>
      <c r="CH197" s="25"/>
      <c r="CI197" s="25"/>
      <c r="CJ197" s="25"/>
      <c r="CK197" s="25"/>
      <c r="CL197" s="25"/>
      <c r="CM197" s="25"/>
      <c r="CN197" s="25"/>
      <c r="CO197" s="25"/>
      <c r="CP197" s="25"/>
      <c r="CQ197" s="25"/>
      <c r="CR197" s="25"/>
      <c r="CS197" s="25"/>
      <c r="CT197" s="25"/>
      <c r="CU197" s="25"/>
      <c r="CV197" s="25"/>
      <c r="CW197" s="25"/>
      <c r="CX197" s="25"/>
      <c r="CY197" s="25"/>
      <c r="CZ197" s="25"/>
      <c r="DA197" s="25"/>
      <c r="DB197" s="25"/>
      <c r="DC197" s="25"/>
      <c r="DD197" s="25"/>
      <c r="DE197" s="25"/>
      <c r="DF197" s="25"/>
      <c r="DG197" s="25"/>
      <c r="DH197" s="25"/>
      <c r="DI197" s="25"/>
      <c r="DJ197" s="25"/>
      <c r="DK197" s="25"/>
      <c r="DL197" s="25"/>
      <c r="DM197" s="25"/>
      <c r="DN197" s="25"/>
      <c r="DO197" s="25"/>
      <c r="DP197" s="25"/>
      <c r="DQ197" s="25"/>
      <c r="DR197" s="25"/>
      <c r="DS197" s="25"/>
      <c r="DT197" s="25"/>
      <c r="DU197" s="25"/>
      <c r="DV197" s="25"/>
      <c r="DW197" s="25"/>
      <c r="DX197" s="25"/>
      <c r="DY197" s="25"/>
      <c r="DZ197" s="25"/>
      <c r="EA197" s="25"/>
      <c r="EB197" s="25"/>
      <c r="EC197" s="25"/>
      <c r="ED197" s="25"/>
      <c r="EE197" s="25"/>
      <c r="EF197" s="25"/>
      <c r="EG197" s="25"/>
      <c r="EH197" s="25"/>
      <c r="EI197" s="25"/>
      <c r="EJ197" s="25"/>
      <c r="EK197" s="25"/>
      <c r="EL197" s="25"/>
      <c r="EM197" s="25"/>
      <c r="EN197" s="25"/>
      <c r="EO197" s="25"/>
      <c r="EP197" s="25"/>
      <c r="EQ197" s="25"/>
      <c r="ER197" s="25"/>
      <c r="ES197" s="25"/>
      <c r="ET197" s="25"/>
    </row>
    <row r="198" spans="9:150" x14ac:dyDescent="0.25"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 s="25"/>
      <c r="AL198" s="25"/>
      <c r="AM198" s="25"/>
      <c r="AN198" s="25"/>
      <c r="AO198" s="25"/>
      <c r="AP198" s="25"/>
      <c r="AQ198" s="25"/>
      <c r="AR198" s="25"/>
      <c r="AS198" s="25"/>
      <c r="AT198" s="25"/>
      <c r="AU198" s="25"/>
      <c r="AV198" s="25"/>
      <c r="AW198" s="25"/>
      <c r="AX198" s="25"/>
      <c r="AY198" s="25"/>
      <c r="AZ198" s="25"/>
      <c r="BA198" s="25"/>
      <c r="BB198" s="25"/>
      <c r="BC198" s="25"/>
      <c r="BD198" s="25"/>
      <c r="BE198" s="25"/>
      <c r="BF198" s="25"/>
      <c r="BG198" s="25"/>
      <c r="BH198" s="25"/>
      <c r="BI198" s="25"/>
      <c r="BJ198" s="25"/>
      <c r="BK198" s="25"/>
      <c r="BL198" s="25"/>
      <c r="BM198" s="25"/>
      <c r="BN198" s="25"/>
      <c r="BO198" s="25"/>
      <c r="BP198" s="25"/>
      <c r="BQ198" s="25"/>
      <c r="BR198" s="25"/>
      <c r="BS198" s="25"/>
      <c r="BT198" s="25"/>
      <c r="BU198" s="25"/>
      <c r="BV198" s="25"/>
      <c r="BW198" s="25"/>
      <c r="BX198" s="25"/>
      <c r="BY198" s="25"/>
      <c r="BZ198" s="25"/>
      <c r="CA198" s="25"/>
      <c r="CB198" s="25"/>
      <c r="CC198" s="25"/>
      <c r="CD198" s="25"/>
      <c r="CE198" s="25"/>
      <c r="CF198" s="25"/>
      <c r="CG198" s="25"/>
      <c r="CH198" s="25"/>
      <c r="CI198" s="25"/>
      <c r="CJ198" s="25"/>
      <c r="CK198" s="25"/>
      <c r="CL198" s="25"/>
      <c r="CM198" s="25"/>
      <c r="CN198" s="25"/>
      <c r="CO198" s="25"/>
      <c r="CP198" s="25"/>
      <c r="CQ198" s="25"/>
      <c r="CR198" s="25"/>
      <c r="CS198" s="25"/>
      <c r="CT198" s="25"/>
      <c r="CU198" s="25"/>
      <c r="CV198" s="25"/>
      <c r="CW198" s="25"/>
      <c r="CX198" s="25"/>
      <c r="CY198" s="25"/>
      <c r="CZ198" s="25"/>
      <c r="DA198" s="25"/>
      <c r="DB198" s="25"/>
      <c r="DC198" s="25"/>
      <c r="DD198" s="25"/>
      <c r="DE198" s="25"/>
      <c r="DF198" s="25"/>
      <c r="DG198" s="25"/>
      <c r="DH198" s="25"/>
      <c r="DI198" s="25"/>
      <c r="DJ198" s="25"/>
      <c r="DK198" s="25"/>
      <c r="DL198" s="25"/>
      <c r="DM198" s="25"/>
      <c r="DN198" s="25"/>
      <c r="DO198" s="25"/>
      <c r="DP198" s="25"/>
      <c r="DQ198" s="25"/>
      <c r="DR198" s="25"/>
      <c r="DS198" s="25"/>
      <c r="DT198" s="25"/>
      <c r="DU198" s="25"/>
      <c r="DV198" s="25"/>
      <c r="DW198" s="25"/>
      <c r="DX198" s="25"/>
      <c r="DY198" s="25"/>
      <c r="DZ198" s="25"/>
      <c r="EA198" s="25"/>
      <c r="EB198" s="25"/>
      <c r="EC198" s="25"/>
      <c r="ED198" s="25"/>
      <c r="EE198" s="25"/>
      <c r="EF198" s="25"/>
      <c r="EG198" s="25"/>
      <c r="EH198" s="25"/>
      <c r="EI198" s="25"/>
      <c r="EJ198" s="25"/>
      <c r="EK198" s="25"/>
      <c r="EL198" s="25"/>
      <c r="EM198" s="25"/>
      <c r="EN198" s="25"/>
      <c r="EO198" s="25"/>
      <c r="EP198" s="25"/>
      <c r="EQ198" s="25"/>
      <c r="ER198" s="25"/>
      <c r="ES198" s="25"/>
      <c r="ET198" s="25"/>
    </row>
    <row r="199" spans="9:150" x14ac:dyDescent="0.25"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 s="25"/>
      <c r="AL199" s="25"/>
      <c r="AM199" s="25"/>
      <c r="AN199" s="25"/>
      <c r="AO199" s="25"/>
      <c r="AP199" s="25"/>
      <c r="AQ199" s="25"/>
      <c r="AR199" s="25"/>
      <c r="AS199" s="25"/>
      <c r="AT199" s="25"/>
      <c r="AU199" s="25"/>
      <c r="AV199" s="25"/>
      <c r="AW199" s="25"/>
      <c r="AX199" s="25"/>
      <c r="AY199" s="25"/>
      <c r="AZ199" s="25"/>
      <c r="BA199" s="25"/>
      <c r="BB199" s="25"/>
      <c r="BC199" s="25"/>
      <c r="BD199" s="25"/>
      <c r="BE199" s="25"/>
      <c r="BF199" s="25"/>
      <c r="BG199" s="25"/>
      <c r="BH199" s="25"/>
      <c r="BI199" s="25"/>
      <c r="BJ199" s="25"/>
      <c r="BK199" s="25"/>
      <c r="BL199" s="25"/>
      <c r="BM199" s="25"/>
      <c r="BN199" s="25"/>
      <c r="BO199" s="25"/>
      <c r="BP199" s="25"/>
      <c r="BQ199" s="25"/>
      <c r="BR199" s="25"/>
      <c r="BS199" s="25"/>
      <c r="BT199" s="25"/>
      <c r="BU199" s="25"/>
      <c r="BV199" s="25"/>
      <c r="BW199" s="25"/>
      <c r="BX199" s="25"/>
      <c r="BY199" s="25"/>
      <c r="BZ199" s="25"/>
      <c r="CA199" s="25"/>
      <c r="CB199" s="25"/>
      <c r="CC199" s="25"/>
      <c r="CD199" s="25"/>
      <c r="CE199" s="25"/>
      <c r="CF199" s="25"/>
      <c r="CG199" s="25"/>
      <c r="CH199" s="25"/>
      <c r="CI199" s="25"/>
      <c r="CJ199" s="25"/>
      <c r="CK199" s="25"/>
      <c r="CL199" s="25"/>
      <c r="CM199" s="25"/>
      <c r="CN199" s="25"/>
      <c r="CO199" s="25"/>
      <c r="CP199" s="25"/>
      <c r="CQ199" s="25"/>
      <c r="CR199" s="25"/>
      <c r="CS199" s="25"/>
      <c r="CT199" s="25"/>
      <c r="CU199" s="25"/>
      <c r="CV199" s="25"/>
      <c r="CW199" s="25"/>
      <c r="CX199" s="25"/>
      <c r="CY199" s="25"/>
      <c r="CZ199" s="25"/>
      <c r="DA199" s="25"/>
      <c r="DB199" s="25"/>
      <c r="DC199" s="25"/>
      <c r="DD199" s="25"/>
      <c r="DE199" s="25"/>
      <c r="DF199" s="25"/>
      <c r="DG199" s="25"/>
      <c r="DH199" s="25"/>
      <c r="DI199" s="25"/>
      <c r="DJ199" s="25"/>
      <c r="DK199" s="25"/>
      <c r="DL199" s="25"/>
      <c r="DM199" s="25"/>
      <c r="DN199" s="25"/>
      <c r="DO199" s="25"/>
      <c r="DP199" s="25"/>
      <c r="DQ199" s="25"/>
      <c r="DR199" s="25"/>
      <c r="DS199" s="25"/>
      <c r="DT199" s="25"/>
      <c r="DU199" s="25"/>
      <c r="DV199" s="25"/>
      <c r="DW199" s="25"/>
      <c r="DX199" s="25"/>
      <c r="DY199" s="25"/>
      <c r="DZ199" s="25"/>
      <c r="EA199" s="25"/>
      <c r="EB199" s="25"/>
      <c r="EC199" s="25"/>
      <c r="ED199" s="25"/>
      <c r="EE199" s="25"/>
      <c r="EF199" s="25"/>
      <c r="EG199" s="25"/>
      <c r="EH199" s="25"/>
      <c r="EI199" s="25"/>
      <c r="EJ199" s="25"/>
      <c r="EK199" s="25"/>
      <c r="EL199" s="25"/>
      <c r="EM199" s="25"/>
      <c r="EN199" s="25"/>
      <c r="EO199" s="25"/>
      <c r="EP199" s="25"/>
      <c r="EQ199" s="25"/>
      <c r="ER199" s="25"/>
      <c r="ES199" s="25"/>
      <c r="ET199" s="25"/>
    </row>
    <row r="200" spans="9:150" x14ac:dyDescent="0.25"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 s="25"/>
      <c r="AL200" s="25"/>
      <c r="AM200" s="25"/>
      <c r="AN200" s="25"/>
      <c r="AO200" s="25"/>
      <c r="AP200" s="25"/>
      <c r="AQ200" s="25"/>
      <c r="AR200" s="25"/>
      <c r="AS200" s="25"/>
      <c r="AT200" s="25"/>
      <c r="AU200" s="25"/>
      <c r="AV200" s="25"/>
      <c r="AW200" s="25"/>
      <c r="AX200" s="25"/>
      <c r="AY200" s="25"/>
      <c r="AZ200" s="25"/>
      <c r="BA200" s="25"/>
      <c r="BB200" s="25"/>
      <c r="BC200" s="25"/>
      <c r="BD200" s="25"/>
      <c r="BE200" s="25"/>
      <c r="BF200" s="25"/>
      <c r="BG200" s="25"/>
      <c r="BH200" s="25"/>
      <c r="BI200" s="25"/>
      <c r="BJ200" s="25"/>
      <c r="BK200" s="25"/>
      <c r="BL200" s="25"/>
      <c r="BM200" s="25"/>
      <c r="BN200" s="25"/>
      <c r="BO200" s="25"/>
      <c r="BP200" s="25"/>
      <c r="BQ200" s="25"/>
      <c r="BR200" s="25"/>
      <c r="BS200" s="25"/>
      <c r="BT200" s="25"/>
      <c r="BU200" s="25"/>
      <c r="BV200" s="25"/>
      <c r="BW200" s="25"/>
      <c r="BX200" s="25"/>
      <c r="BY200" s="25"/>
      <c r="BZ200" s="25"/>
      <c r="CA200" s="25"/>
      <c r="CB200" s="25"/>
      <c r="CC200" s="25"/>
      <c r="CD200" s="25"/>
      <c r="CE200" s="25"/>
      <c r="CF200" s="25"/>
      <c r="CG200" s="25"/>
      <c r="CH200" s="25"/>
      <c r="CI200" s="25"/>
      <c r="CJ200" s="25"/>
      <c r="CK200" s="25"/>
      <c r="CL200" s="25"/>
      <c r="CM200" s="25"/>
      <c r="CN200" s="25"/>
      <c r="CO200" s="25"/>
      <c r="CP200" s="25"/>
      <c r="CQ200" s="25"/>
      <c r="CR200" s="25"/>
      <c r="CS200" s="25"/>
      <c r="CT200" s="25"/>
      <c r="CU200" s="25"/>
      <c r="CV200" s="25"/>
      <c r="CW200" s="25"/>
      <c r="CX200" s="25"/>
      <c r="CY200" s="25"/>
      <c r="CZ200" s="25"/>
      <c r="DA200" s="25"/>
      <c r="DB200" s="25"/>
      <c r="DC200" s="25"/>
      <c r="DD200" s="25"/>
      <c r="DE200" s="25"/>
      <c r="DF200" s="25"/>
      <c r="DG200" s="25"/>
      <c r="DH200" s="25"/>
      <c r="DI200" s="25"/>
      <c r="DJ200" s="25"/>
      <c r="DK200" s="25"/>
      <c r="DL200" s="25"/>
      <c r="DM200" s="25"/>
      <c r="DN200" s="25"/>
      <c r="DO200" s="25"/>
      <c r="DP200" s="25"/>
      <c r="DQ200" s="25"/>
      <c r="DR200" s="25"/>
      <c r="DS200" s="25"/>
      <c r="DT200" s="25"/>
      <c r="DU200" s="25"/>
      <c r="DV200" s="25"/>
      <c r="DW200" s="25"/>
      <c r="DX200" s="25"/>
      <c r="DY200" s="25"/>
      <c r="DZ200" s="25"/>
      <c r="EA200" s="25"/>
      <c r="EB200" s="25"/>
      <c r="EC200" s="25"/>
      <c r="ED200" s="25"/>
      <c r="EE200" s="25"/>
      <c r="EF200" s="25"/>
      <c r="EG200" s="25"/>
      <c r="EH200" s="25"/>
      <c r="EI200" s="25"/>
      <c r="EJ200" s="25"/>
      <c r="EK200" s="25"/>
      <c r="EL200" s="25"/>
      <c r="EM200" s="25"/>
      <c r="EN200" s="25"/>
      <c r="EO200" s="25"/>
      <c r="EP200" s="25"/>
      <c r="EQ200" s="25"/>
      <c r="ER200" s="25"/>
      <c r="ES200" s="25"/>
      <c r="ET200" s="25"/>
    </row>
    <row r="201" spans="9:150" x14ac:dyDescent="0.25"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 s="25"/>
      <c r="AL201" s="25"/>
      <c r="AM201" s="25"/>
      <c r="AN201" s="25"/>
      <c r="AO201" s="25"/>
      <c r="AP201" s="25"/>
      <c r="AQ201" s="25"/>
      <c r="AR201" s="25"/>
      <c r="AS201" s="25"/>
      <c r="AT201" s="25"/>
      <c r="AU201" s="25"/>
      <c r="AV201" s="25"/>
      <c r="AW201" s="25"/>
      <c r="AX201" s="25"/>
      <c r="AY201" s="25"/>
      <c r="AZ201" s="25"/>
      <c r="BA201" s="25"/>
      <c r="BB201" s="25"/>
      <c r="BC201" s="25"/>
      <c r="BD201" s="25"/>
      <c r="BE201" s="25"/>
      <c r="BF201" s="25"/>
      <c r="BG201" s="25"/>
      <c r="BH201" s="25"/>
      <c r="BI201" s="25"/>
      <c r="BJ201" s="25"/>
      <c r="BK201" s="25"/>
      <c r="BL201" s="25"/>
      <c r="BM201" s="25"/>
      <c r="BN201" s="25"/>
      <c r="BO201" s="25"/>
      <c r="BP201" s="25"/>
      <c r="BQ201" s="25"/>
      <c r="BR201" s="25"/>
      <c r="BS201" s="25"/>
      <c r="BT201" s="25"/>
      <c r="BU201" s="25"/>
      <c r="BV201" s="25"/>
      <c r="BW201" s="25"/>
      <c r="BX201" s="25"/>
      <c r="BY201" s="25"/>
      <c r="BZ201" s="25"/>
      <c r="CA201" s="25"/>
      <c r="CB201" s="25"/>
      <c r="CC201" s="25"/>
      <c r="CD201" s="25"/>
      <c r="CE201" s="25"/>
      <c r="CF201" s="25"/>
      <c r="CG201" s="25"/>
      <c r="CH201" s="25"/>
      <c r="CI201" s="25"/>
      <c r="CJ201" s="25"/>
      <c r="CK201" s="25"/>
      <c r="CL201" s="25"/>
      <c r="CM201" s="25"/>
      <c r="CN201" s="25"/>
      <c r="CO201" s="25"/>
      <c r="CP201" s="25"/>
      <c r="CQ201" s="25"/>
      <c r="CR201" s="25"/>
      <c r="CS201" s="25"/>
      <c r="CT201" s="25"/>
      <c r="CU201" s="25"/>
      <c r="CV201" s="25"/>
      <c r="CW201" s="25"/>
      <c r="CX201" s="25"/>
      <c r="CY201" s="25"/>
      <c r="CZ201" s="25"/>
      <c r="DA201" s="25"/>
      <c r="DB201" s="25"/>
      <c r="DC201" s="25"/>
      <c r="DD201" s="25"/>
      <c r="DE201" s="25"/>
      <c r="DF201" s="25"/>
      <c r="DG201" s="25"/>
      <c r="DH201" s="25"/>
      <c r="DI201" s="25"/>
      <c r="DJ201" s="25"/>
      <c r="DK201" s="25"/>
      <c r="DL201" s="25"/>
      <c r="DM201" s="25"/>
      <c r="DN201" s="25"/>
      <c r="DO201" s="25"/>
      <c r="DP201" s="25"/>
      <c r="DQ201" s="25"/>
      <c r="DR201" s="25"/>
      <c r="DS201" s="25"/>
      <c r="DT201" s="25"/>
      <c r="DU201" s="25"/>
      <c r="DV201" s="25"/>
      <c r="DW201" s="25"/>
      <c r="DX201" s="25"/>
      <c r="DY201" s="25"/>
      <c r="DZ201" s="25"/>
      <c r="EA201" s="25"/>
      <c r="EB201" s="25"/>
      <c r="EC201" s="25"/>
      <c r="ED201" s="25"/>
      <c r="EE201" s="25"/>
      <c r="EF201" s="25"/>
      <c r="EG201" s="25"/>
      <c r="EH201" s="25"/>
      <c r="EI201" s="25"/>
      <c r="EJ201" s="25"/>
      <c r="EK201" s="25"/>
      <c r="EL201" s="25"/>
      <c r="EM201" s="25"/>
      <c r="EN201" s="25"/>
      <c r="EO201" s="25"/>
      <c r="EP201" s="25"/>
      <c r="EQ201" s="25"/>
      <c r="ER201" s="25"/>
      <c r="ES201" s="25"/>
      <c r="ET201" s="25"/>
    </row>
    <row r="202" spans="9:150" x14ac:dyDescent="0.25"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 s="25"/>
      <c r="AL202" s="25"/>
      <c r="AM202" s="25"/>
      <c r="AN202" s="25"/>
      <c r="AO202" s="25"/>
      <c r="AP202" s="25"/>
      <c r="AQ202" s="25"/>
      <c r="AR202" s="25"/>
      <c r="AS202" s="25"/>
      <c r="AT202" s="25"/>
      <c r="AU202" s="25"/>
      <c r="AV202" s="25"/>
      <c r="AW202" s="25"/>
      <c r="AX202" s="25"/>
      <c r="AY202" s="25"/>
      <c r="AZ202" s="25"/>
      <c r="BA202" s="25"/>
      <c r="BB202" s="25"/>
      <c r="BC202" s="25"/>
      <c r="BD202" s="25"/>
      <c r="BE202" s="25"/>
      <c r="BF202" s="25"/>
      <c r="BG202" s="25"/>
      <c r="BH202" s="25"/>
      <c r="BI202" s="25"/>
      <c r="BJ202" s="25"/>
      <c r="BK202" s="25"/>
      <c r="BL202" s="25"/>
      <c r="BM202" s="25"/>
      <c r="BN202" s="25"/>
      <c r="BO202" s="25"/>
      <c r="BP202" s="25"/>
      <c r="BQ202" s="25"/>
      <c r="BR202" s="25"/>
      <c r="BS202" s="25"/>
      <c r="BT202" s="25"/>
      <c r="BU202" s="25"/>
      <c r="BV202" s="25"/>
      <c r="BW202" s="25"/>
      <c r="BX202" s="25"/>
      <c r="BY202" s="25"/>
      <c r="BZ202" s="25"/>
      <c r="CA202" s="25"/>
      <c r="CB202" s="25"/>
      <c r="CC202" s="25"/>
      <c r="CD202" s="25"/>
      <c r="CE202" s="25"/>
      <c r="CF202" s="25"/>
      <c r="CG202" s="25"/>
      <c r="CH202" s="25"/>
      <c r="CI202" s="25"/>
      <c r="CJ202" s="25"/>
      <c r="CK202" s="25"/>
      <c r="CL202" s="25"/>
      <c r="CM202" s="25"/>
      <c r="CN202" s="25"/>
      <c r="CO202" s="25"/>
      <c r="CP202" s="25"/>
      <c r="CQ202" s="25"/>
      <c r="CR202" s="25"/>
      <c r="CS202" s="25"/>
      <c r="CT202" s="25"/>
      <c r="CU202" s="25"/>
      <c r="CV202" s="25"/>
      <c r="CW202" s="25"/>
      <c r="CX202" s="25"/>
      <c r="CY202" s="25"/>
      <c r="CZ202" s="25"/>
      <c r="DA202" s="25"/>
      <c r="DB202" s="25"/>
      <c r="DC202" s="25"/>
      <c r="DD202" s="25"/>
      <c r="DE202" s="25"/>
      <c r="DF202" s="25"/>
      <c r="DG202" s="25"/>
      <c r="DH202" s="25"/>
      <c r="DI202" s="25"/>
      <c r="DJ202" s="25"/>
      <c r="DK202" s="25"/>
      <c r="DL202" s="25"/>
      <c r="DM202" s="25"/>
      <c r="DN202" s="25"/>
      <c r="DO202" s="25"/>
      <c r="DP202" s="25"/>
      <c r="DQ202" s="25"/>
      <c r="DR202" s="25"/>
      <c r="DS202" s="25"/>
      <c r="DT202" s="25"/>
      <c r="DU202" s="25"/>
      <c r="DV202" s="25"/>
      <c r="DW202" s="25"/>
      <c r="DX202" s="25"/>
      <c r="DY202" s="25"/>
      <c r="DZ202" s="25"/>
      <c r="EA202" s="25"/>
      <c r="EB202" s="25"/>
      <c r="EC202" s="25"/>
      <c r="ED202" s="25"/>
      <c r="EE202" s="25"/>
      <c r="EF202" s="25"/>
      <c r="EG202" s="25"/>
      <c r="EH202" s="25"/>
      <c r="EI202" s="25"/>
      <c r="EJ202" s="25"/>
      <c r="EK202" s="25"/>
      <c r="EL202" s="25"/>
      <c r="EM202" s="25"/>
      <c r="EN202" s="25"/>
      <c r="EO202" s="25"/>
      <c r="EP202" s="25"/>
      <c r="EQ202" s="25"/>
      <c r="ER202" s="25"/>
      <c r="ES202" s="25"/>
      <c r="ET202" s="25"/>
    </row>
    <row r="203" spans="9:150" x14ac:dyDescent="0.25"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 s="25"/>
      <c r="AL203" s="25"/>
      <c r="AM203" s="25"/>
      <c r="AN203" s="25"/>
      <c r="AO203" s="25"/>
      <c r="AP203" s="25"/>
      <c r="AQ203" s="25"/>
      <c r="AR203" s="25"/>
      <c r="AS203" s="25"/>
      <c r="AT203" s="25"/>
      <c r="AU203" s="25"/>
      <c r="AV203" s="25"/>
      <c r="AW203" s="25"/>
      <c r="AX203" s="25"/>
      <c r="AY203" s="25"/>
      <c r="AZ203" s="25"/>
      <c r="BA203" s="25"/>
      <c r="BB203" s="25"/>
      <c r="BC203" s="25"/>
      <c r="BD203" s="25"/>
      <c r="BE203" s="25"/>
      <c r="BF203" s="25"/>
      <c r="BG203" s="25"/>
      <c r="BH203" s="25"/>
      <c r="BI203" s="25"/>
      <c r="BJ203" s="25"/>
      <c r="BK203" s="25"/>
      <c r="BL203" s="25"/>
      <c r="BM203" s="25"/>
      <c r="BN203" s="25"/>
      <c r="BO203" s="25"/>
      <c r="BP203" s="25"/>
      <c r="BQ203" s="25"/>
      <c r="BR203" s="25"/>
      <c r="BS203" s="25"/>
      <c r="BT203" s="25"/>
      <c r="BU203" s="25"/>
      <c r="BV203" s="25"/>
      <c r="BW203" s="25"/>
      <c r="BX203" s="25"/>
      <c r="BY203" s="25"/>
      <c r="BZ203" s="25"/>
      <c r="CA203" s="25"/>
      <c r="CB203" s="25"/>
      <c r="CC203" s="25"/>
      <c r="CD203" s="25"/>
      <c r="CE203" s="25"/>
      <c r="CF203" s="25"/>
      <c r="CG203" s="25"/>
      <c r="CH203" s="25"/>
      <c r="CI203" s="25"/>
      <c r="CJ203" s="25"/>
      <c r="CK203" s="25"/>
      <c r="CL203" s="25"/>
      <c r="CM203" s="25"/>
      <c r="CN203" s="25"/>
      <c r="CO203" s="25"/>
      <c r="CP203" s="25"/>
      <c r="CQ203" s="25"/>
      <c r="CR203" s="25"/>
      <c r="CS203" s="25"/>
      <c r="CT203" s="25"/>
      <c r="CU203" s="25"/>
      <c r="CV203" s="25"/>
      <c r="CW203" s="25"/>
      <c r="CX203" s="25"/>
      <c r="CY203" s="25"/>
      <c r="CZ203" s="25"/>
      <c r="DA203" s="25"/>
      <c r="DB203" s="25"/>
      <c r="DC203" s="25"/>
      <c r="DD203" s="25"/>
      <c r="DE203" s="25"/>
      <c r="DF203" s="25"/>
      <c r="DG203" s="25"/>
      <c r="DH203" s="25"/>
      <c r="DI203" s="25"/>
      <c r="DJ203" s="25"/>
      <c r="DK203" s="25"/>
      <c r="DL203" s="25"/>
      <c r="DM203" s="25"/>
      <c r="DN203" s="25"/>
      <c r="DO203" s="25"/>
      <c r="DP203" s="25"/>
      <c r="DQ203" s="25"/>
      <c r="DR203" s="25"/>
      <c r="DS203" s="25"/>
      <c r="DT203" s="25"/>
      <c r="DU203" s="25"/>
      <c r="DV203" s="25"/>
      <c r="DW203" s="25"/>
      <c r="DX203" s="25"/>
      <c r="DY203" s="25"/>
      <c r="DZ203" s="25"/>
      <c r="EA203" s="25"/>
      <c r="EB203" s="25"/>
      <c r="EC203" s="25"/>
      <c r="ED203" s="25"/>
      <c r="EE203" s="25"/>
      <c r="EF203" s="25"/>
      <c r="EG203" s="25"/>
      <c r="EH203" s="25"/>
      <c r="EI203" s="25"/>
      <c r="EJ203" s="25"/>
      <c r="EK203" s="25"/>
      <c r="EL203" s="25"/>
      <c r="EM203" s="25"/>
      <c r="EN203" s="25"/>
      <c r="EO203" s="25"/>
      <c r="EP203" s="25"/>
      <c r="EQ203" s="25"/>
      <c r="ER203" s="25"/>
      <c r="ES203" s="25"/>
      <c r="ET203" s="25"/>
    </row>
    <row r="204" spans="9:150" x14ac:dyDescent="0.25"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 s="25"/>
      <c r="AL204" s="25"/>
      <c r="AM204" s="25"/>
      <c r="AN204" s="25"/>
      <c r="AO204" s="25"/>
      <c r="AP204" s="25"/>
      <c r="AQ204" s="25"/>
      <c r="AR204" s="25"/>
      <c r="AS204" s="25"/>
      <c r="AT204" s="25"/>
      <c r="AU204" s="25"/>
      <c r="AV204" s="25"/>
      <c r="AW204" s="25"/>
      <c r="AX204" s="25"/>
      <c r="AY204" s="25"/>
      <c r="AZ204" s="25"/>
      <c r="BA204" s="25"/>
      <c r="BB204" s="25"/>
      <c r="BC204" s="25"/>
      <c r="BD204" s="25"/>
      <c r="BE204" s="25"/>
      <c r="BF204" s="25"/>
      <c r="BG204" s="25"/>
      <c r="BH204" s="25"/>
      <c r="BI204" s="25"/>
      <c r="BJ204" s="25"/>
      <c r="BK204" s="25"/>
      <c r="BL204" s="25"/>
      <c r="BM204" s="25"/>
      <c r="BN204" s="25"/>
      <c r="BO204" s="25"/>
      <c r="BP204" s="25"/>
      <c r="BQ204" s="25"/>
      <c r="BR204" s="25"/>
      <c r="BS204" s="25"/>
      <c r="BT204" s="25"/>
      <c r="BU204" s="25"/>
      <c r="BV204" s="25"/>
      <c r="BW204" s="25"/>
      <c r="BX204" s="25"/>
      <c r="BY204" s="25"/>
      <c r="BZ204" s="25"/>
      <c r="CA204" s="25"/>
      <c r="CB204" s="25"/>
      <c r="CC204" s="25"/>
      <c r="CD204" s="25"/>
      <c r="CE204" s="25"/>
      <c r="CF204" s="25"/>
      <c r="CG204" s="25"/>
      <c r="CH204" s="25"/>
      <c r="CI204" s="25"/>
      <c r="CJ204" s="25"/>
      <c r="CK204" s="25"/>
      <c r="CL204" s="25"/>
      <c r="CM204" s="25"/>
      <c r="CN204" s="25"/>
      <c r="CO204" s="25"/>
      <c r="CP204" s="25"/>
      <c r="CQ204" s="25"/>
      <c r="CR204" s="25"/>
      <c r="CS204" s="25"/>
      <c r="CT204" s="25"/>
      <c r="CU204" s="25"/>
      <c r="CV204" s="25"/>
      <c r="CW204" s="25"/>
      <c r="CX204" s="25"/>
      <c r="CY204" s="25"/>
      <c r="CZ204" s="25"/>
      <c r="DA204" s="25"/>
      <c r="DB204" s="25"/>
      <c r="DC204" s="25"/>
      <c r="DD204" s="25"/>
      <c r="DE204" s="25"/>
      <c r="DF204" s="25"/>
      <c r="DG204" s="25"/>
      <c r="DH204" s="25"/>
      <c r="DI204" s="25"/>
      <c r="DJ204" s="25"/>
      <c r="DK204" s="25"/>
      <c r="DL204" s="25"/>
      <c r="DM204" s="25"/>
      <c r="DN204" s="25"/>
      <c r="DO204" s="25"/>
      <c r="DP204" s="25"/>
      <c r="DQ204" s="25"/>
      <c r="DR204" s="25"/>
      <c r="DS204" s="25"/>
      <c r="DT204" s="25"/>
      <c r="DU204" s="25"/>
      <c r="DV204" s="25"/>
      <c r="DW204" s="25"/>
      <c r="DX204" s="25"/>
      <c r="DY204" s="25"/>
      <c r="DZ204" s="25"/>
      <c r="EA204" s="25"/>
      <c r="EB204" s="25"/>
      <c r="EC204" s="25"/>
      <c r="ED204" s="25"/>
      <c r="EE204" s="25"/>
      <c r="EF204" s="25"/>
      <c r="EG204" s="25"/>
      <c r="EH204" s="25"/>
      <c r="EI204" s="25"/>
      <c r="EJ204" s="25"/>
      <c r="EK204" s="25"/>
      <c r="EL204" s="25"/>
      <c r="EM204" s="25"/>
      <c r="EN204" s="25"/>
      <c r="EO204" s="25"/>
      <c r="EP204" s="25"/>
      <c r="EQ204" s="25"/>
      <c r="ER204" s="25"/>
      <c r="ES204" s="25"/>
      <c r="ET204" s="25"/>
    </row>
    <row r="205" spans="9:150" x14ac:dyDescent="0.25"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 s="25"/>
      <c r="AL205" s="25"/>
      <c r="AM205" s="25"/>
      <c r="AN205" s="25"/>
      <c r="AO205" s="25"/>
      <c r="AP205" s="25"/>
      <c r="AQ205" s="25"/>
      <c r="AR205" s="25"/>
      <c r="AS205" s="25"/>
      <c r="AT205" s="25"/>
      <c r="AU205" s="25"/>
      <c r="AV205" s="25"/>
      <c r="AW205" s="25"/>
      <c r="AX205" s="25"/>
      <c r="AY205" s="25"/>
      <c r="AZ205" s="25"/>
      <c r="BA205" s="25"/>
      <c r="BB205" s="25"/>
      <c r="BC205" s="25"/>
      <c r="BD205" s="25"/>
      <c r="BE205" s="25"/>
      <c r="BF205" s="25"/>
      <c r="BG205" s="25"/>
      <c r="BH205" s="25"/>
      <c r="BI205" s="25"/>
      <c r="BJ205" s="25"/>
      <c r="BK205" s="25"/>
      <c r="BL205" s="25"/>
      <c r="BM205" s="25"/>
      <c r="BN205" s="25"/>
      <c r="BO205" s="25"/>
      <c r="BP205" s="25"/>
      <c r="BQ205" s="25"/>
      <c r="BR205" s="25"/>
      <c r="BS205" s="25"/>
      <c r="BT205" s="25"/>
      <c r="BU205" s="25"/>
      <c r="BV205" s="25"/>
      <c r="BW205" s="25"/>
      <c r="BX205" s="25"/>
      <c r="BY205" s="25"/>
      <c r="BZ205" s="25"/>
      <c r="CA205" s="25"/>
      <c r="CB205" s="25"/>
      <c r="CC205" s="25"/>
      <c r="CD205" s="25"/>
      <c r="CE205" s="25"/>
      <c r="CF205" s="25"/>
      <c r="CG205" s="25"/>
      <c r="CH205" s="25"/>
      <c r="CI205" s="25"/>
      <c r="CJ205" s="25"/>
      <c r="CK205" s="25"/>
      <c r="CL205" s="25"/>
      <c r="CM205" s="25"/>
      <c r="CN205" s="25"/>
      <c r="CO205" s="25"/>
      <c r="CP205" s="25"/>
      <c r="CQ205" s="25"/>
      <c r="CR205" s="25"/>
      <c r="CS205" s="25"/>
      <c r="CT205" s="25"/>
      <c r="CU205" s="25"/>
      <c r="CV205" s="25"/>
      <c r="CW205" s="25"/>
      <c r="CX205" s="25"/>
      <c r="CY205" s="25"/>
      <c r="CZ205" s="25"/>
      <c r="DA205" s="25"/>
      <c r="DB205" s="25"/>
      <c r="DC205" s="25"/>
      <c r="DD205" s="25"/>
      <c r="DE205" s="25"/>
      <c r="DF205" s="25"/>
      <c r="DG205" s="25"/>
      <c r="DH205" s="25"/>
      <c r="DI205" s="25"/>
      <c r="DJ205" s="25"/>
      <c r="DK205" s="25"/>
      <c r="DL205" s="25"/>
      <c r="DM205" s="25"/>
      <c r="DN205" s="25"/>
      <c r="DO205" s="25"/>
      <c r="DP205" s="25"/>
      <c r="DQ205" s="25"/>
      <c r="DR205" s="25"/>
      <c r="DS205" s="25"/>
      <c r="DT205" s="25"/>
      <c r="DU205" s="25"/>
      <c r="DV205" s="25"/>
      <c r="DW205" s="25"/>
      <c r="DX205" s="25"/>
      <c r="DY205" s="25"/>
      <c r="DZ205" s="25"/>
      <c r="EA205" s="25"/>
      <c r="EB205" s="25"/>
      <c r="EC205" s="25"/>
      <c r="ED205" s="25"/>
      <c r="EE205" s="25"/>
      <c r="EF205" s="25"/>
      <c r="EG205" s="25"/>
      <c r="EH205" s="25"/>
      <c r="EI205" s="25"/>
      <c r="EJ205" s="25"/>
      <c r="EK205" s="25"/>
      <c r="EL205" s="25"/>
      <c r="EM205" s="25"/>
      <c r="EN205" s="25"/>
      <c r="EO205" s="25"/>
      <c r="EP205" s="25"/>
      <c r="EQ205" s="25"/>
      <c r="ER205" s="25"/>
      <c r="ES205" s="25"/>
      <c r="ET205" s="25"/>
    </row>
    <row r="206" spans="9:150" x14ac:dyDescent="0.25"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 s="25"/>
      <c r="AL206" s="25"/>
      <c r="AM206" s="25"/>
      <c r="AN206" s="25"/>
      <c r="AO206" s="25"/>
      <c r="AP206" s="25"/>
      <c r="AQ206" s="25"/>
      <c r="AR206" s="25"/>
      <c r="AS206" s="25"/>
      <c r="AT206" s="25"/>
      <c r="AU206" s="25"/>
      <c r="AV206" s="25"/>
      <c r="AW206" s="25"/>
      <c r="AX206" s="25"/>
      <c r="AY206" s="25"/>
      <c r="AZ206" s="25"/>
      <c r="BA206" s="25"/>
      <c r="BB206" s="25"/>
      <c r="BC206" s="25"/>
      <c r="BD206" s="25"/>
      <c r="BE206" s="25"/>
      <c r="BF206" s="25"/>
      <c r="BG206" s="25"/>
      <c r="BH206" s="25"/>
      <c r="BI206" s="25"/>
      <c r="BJ206" s="25"/>
      <c r="BK206" s="25"/>
      <c r="BL206" s="25"/>
      <c r="BM206" s="25"/>
      <c r="BN206" s="25"/>
      <c r="BO206" s="25"/>
      <c r="BP206" s="25"/>
      <c r="BQ206" s="25"/>
      <c r="BR206" s="25"/>
      <c r="BS206" s="25"/>
      <c r="BT206" s="25"/>
      <c r="BU206" s="25"/>
      <c r="BV206" s="25"/>
      <c r="BW206" s="25"/>
      <c r="BX206" s="25"/>
      <c r="BY206" s="25"/>
      <c r="BZ206" s="25"/>
      <c r="CA206" s="25"/>
      <c r="CB206" s="25"/>
      <c r="CC206" s="25"/>
      <c r="CD206" s="25"/>
      <c r="CE206" s="25"/>
      <c r="CF206" s="25"/>
      <c r="CG206" s="25"/>
      <c r="CH206" s="25"/>
      <c r="CI206" s="25"/>
      <c r="CJ206" s="25"/>
      <c r="CK206" s="25"/>
      <c r="CL206" s="25"/>
      <c r="CM206" s="25"/>
      <c r="CN206" s="25"/>
      <c r="CO206" s="25"/>
      <c r="CP206" s="25"/>
      <c r="CQ206" s="25"/>
      <c r="CR206" s="25"/>
      <c r="CS206" s="25"/>
      <c r="CT206" s="25"/>
      <c r="CU206" s="25"/>
      <c r="CV206" s="25"/>
      <c r="CW206" s="25"/>
      <c r="CX206" s="25"/>
      <c r="CY206" s="25"/>
      <c r="CZ206" s="25"/>
      <c r="DA206" s="25"/>
      <c r="DB206" s="25"/>
      <c r="DC206" s="25"/>
      <c r="DD206" s="25"/>
      <c r="DE206" s="25"/>
      <c r="DF206" s="25"/>
      <c r="DG206" s="25"/>
      <c r="DH206" s="25"/>
      <c r="DI206" s="25"/>
      <c r="DJ206" s="25"/>
      <c r="DK206" s="25"/>
      <c r="DL206" s="25"/>
      <c r="DM206" s="25"/>
      <c r="DN206" s="25"/>
      <c r="DO206" s="25"/>
      <c r="DP206" s="25"/>
      <c r="DQ206" s="25"/>
      <c r="DR206" s="25"/>
      <c r="DS206" s="25"/>
      <c r="DT206" s="25"/>
      <c r="DU206" s="25"/>
      <c r="DV206" s="25"/>
      <c r="DW206" s="25"/>
      <c r="DX206" s="25"/>
      <c r="DY206" s="25"/>
      <c r="DZ206" s="25"/>
      <c r="EA206" s="25"/>
      <c r="EB206" s="25"/>
      <c r="EC206" s="25"/>
      <c r="ED206" s="25"/>
      <c r="EE206" s="25"/>
      <c r="EF206" s="25"/>
      <c r="EG206" s="25"/>
      <c r="EH206" s="25"/>
      <c r="EI206" s="25"/>
      <c r="EJ206" s="25"/>
      <c r="EK206" s="25"/>
      <c r="EL206" s="25"/>
      <c r="EM206" s="25"/>
      <c r="EN206" s="25"/>
      <c r="EO206" s="25"/>
      <c r="EP206" s="25"/>
      <c r="EQ206" s="25"/>
      <c r="ER206" s="25"/>
      <c r="ES206" s="25"/>
      <c r="ET206" s="25"/>
    </row>
    <row r="207" spans="9:150" x14ac:dyDescent="0.25"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 s="25"/>
      <c r="AL207" s="25"/>
      <c r="AM207" s="25"/>
      <c r="AN207" s="25"/>
      <c r="AO207" s="25"/>
      <c r="AP207" s="25"/>
      <c r="AQ207" s="25"/>
      <c r="AR207" s="25"/>
      <c r="AS207" s="25"/>
      <c r="AT207" s="25"/>
      <c r="AU207" s="25"/>
      <c r="AV207" s="25"/>
      <c r="AW207" s="25"/>
      <c r="AX207" s="25"/>
      <c r="AY207" s="25"/>
      <c r="AZ207" s="25"/>
      <c r="BA207" s="25"/>
      <c r="BB207" s="25"/>
      <c r="BC207" s="25"/>
      <c r="BD207" s="25"/>
      <c r="BE207" s="25"/>
      <c r="BF207" s="25"/>
      <c r="BG207" s="25"/>
      <c r="BH207" s="25"/>
      <c r="BI207" s="25"/>
      <c r="BJ207" s="25"/>
      <c r="BK207" s="25"/>
      <c r="BL207" s="25"/>
      <c r="BM207" s="25"/>
      <c r="BN207" s="25"/>
      <c r="BO207" s="25"/>
      <c r="BP207" s="25"/>
      <c r="BQ207" s="25"/>
      <c r="BR207" s="25"/>
      <c r="BS207" s="25"/>
      <c r="BT207" s="25"/>
      <c r="BU207" s="25"/>
      <c r="BV207" s="25"/>
      <c r="BW207" s="25"/>
      <c r="BX207" s="25"/>
      <c r="BY207" s="25"/>
      <c r="BZ207" s="25"/>
      <c r="CA207" s="25"/>
      <c r="CB207" s="25"/>
      <c r="CC207" s="25"/>
      <c r="CD207" s="25"/>
      <c r="CE207" s="25"/>
      <c r="CF207" s="25"/>
      <c r="CG207" s="25"/>
      <c r="CH207" s="25"/>
      <c r="CI207" s="25"/>
      <c r="CJ207" s="25"/>
      <c r="CK207" s="25"/>
      <c r="CL207" s="25"/>
      <c r="CM207" s="25"/>
      <c r="CN207" s="25"/>
      <c r="CO207" s="25"/>
      <c r="CP207" s="25"/>
      <c r="CQ207" s="25"/>
      <c r="CR207" s="25"/>
      <c r="CS207" s="25"/>
      <c r="CT207" s="25"/>
      <c r="CU207" s="25"/>
      <c r="CV207" s="25"/>
      <c r="CW207" s="25"/>
      <c r="CX207" s="25"/>
      <c r="CY207" s="25"/>
      <c r="CZ207" s="25"/>
      <c r="DA207" s="25"/>
      <c r="DB207" s="25"/>
      <c r="DC207" s="25"/>
      <c r="DD207" s="25"/>
      <c r="DE207" s="25"/>
      <c r="DF207" s="25"/>
      <c r="DG207" s="25"/>
      <c r="DH207" s="25"/>
      <c r="DI207" s="25"/>
      <c r="DJ207" s="25"/>
      <c r="DK207" s="25"/>
      <c r="DL207" s="25"/>
      <c r="DM207" s="25"/>
      <c r="DN207" s="25"/>
      <c r="DO207" s="25"/>
      <c r="DP207" s="25"/>
      <c r="DQ207" s="25"/>
      <c r="DR207" s="25"/>
      <c r="DS207" s="25"/>
      <c r="DT207" s="25"/>
      <c r="DU207" s="25"/>
      <c r="DV207" s="25"/>
      <c r="DW207" s="25"/>
      <c r="DX207" s="25"/>
      <c r="DY207" s="25"/>
      <c r="DZ207" s="25"/>
      <c r="EA207" s="25"/>
      <c r="EB207" s="25"/>
      <c r="EC207" s="25"/>
      <c r="ED207" s="25"/>
      <c r="EE207" s="25"/>
      <c r="EF207" s="25"/>
      <c r="EG207" s="25"/>
      <c r="EH207" s="25"/>
      <c r="EI207" s="25"/>
      <c r="EJ207" s="25"/>
      <c r="EK207" s="25"/>
      <c r="EL207" s="25"/>
      <c r="EM207" s="25"/>
      <c r="EN207" s="25"/>
      <c r="EO207" s="25"/>
      <c r="EP207" s="25"/>
      <c r="EQ207" s="25"/>
      <c r="ER207" s="25"/>
      <c r="ES207" s="25"/>
      <c r="ET207" s="25"/>
    </row>
    <row r="208" spans="9:150" x14ac:dyDescent="0.25"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 s="25"/>
      <c r="AL208" s="25"/>
      <c r="AM208" s="25"/>
      <c r="AN208" s="25"/>
      <c r="AO208" s="25"/>
      <c r="AP208" s="25"/>
      <c r="AQ208" s="25"/>
      <c r="AR208" s="25"/>
      <c r="AS208" s="25"/>
      <c r="AT208" s="25"/>
      <c r="AU208" s="25"/>
      <c r="AV208" s="25"/>
      <c r="AW208" s="25"/>
      <c r="AX208" s="25"/>
      <c r="AY208" s="25"/>
      <c r="AZ208" s="25"/>
      <c r="BA208" s="25"/>
      <c r="BB208" s="25"/>
      <c r="BC208" s="25"/>
      <c r="BD208" s="25"/>
      <c r="BE208" s="25"/>
      <c r="BF208" s="25"/>
      <c r="BG208" s="25"/>
      <c r="BH208" s="25"/>
      <c r="BI208" s="25"/>
      <c r="BJ208" s="25"/>
      <c r="BK208" s="25"/>
      <c r="BL208" s="25"/>
      <c r="BM208" s="25"/>
      <c r="BN208" s="25"/>
      <c r="BO208" s="25"/>
      <c r="BP208" s="25"/>
      <c r="BQ208" s="25"/>
      <c r="BR208" s="25"/>
      <c r="BS208" s="25"/>
      <c r="BT208" s="25"/>
      <c r="BU208" s="25"/>
      <c r="BV208" s="25"/>
      <c r="BW208" s="25"/>
      <c r="BX208" s="25"/>
      <c r="BY208" s="25"/>
      <c r="BZ208" s="25"/>
      <c r="CA208" s="25"/>
      <c r="CB208" s="25"/>
      <c r="CC208" s="25"/>
      <c r="CD208" s="25"/>
      <c r="CE208" s="25"/>
      <c r="CF208" s="25"/>
      <c r="CG208" s="25"/>
      <c r="CH208" s="25"/>
      <c r="CI208" s="25"/>
      <c r="CJ208" s="25"/>
      <c r="CK208" s="25"/>
      <c r="CL208" s="25"/>
      <c r="CM208" s="25"/>
      <c r="CN208" s="25"/>
      <c r="CO208" s="25"/>
      <c r="CP208" s="25"/>
      <c r="CQ208" s="25"/>
      <c r="CR208" s="25"/>
      <c r="CS208" s="25"/>
      <c r="CT208" s="25"/>
      <c r="CU208" s="25"/>
      <c r="CV208" s="25"/>
      <c r="CW208" s="25"/>
      <c r="CX208" s="25"/>
      <c r="CY208" s="25"/>
      <c r="CZ208" s="25"/>
      <c r="DA208" s="25"/>
      <c r="DB208" s="25"/>
      <c r="DC208" s="25"/>
      <c r="DD208" s="25"/>
      <c r="DE208" s="25"/>
      <c r="DF208" s="25"/>
      <c r="DG208" s="25"/>
      <c r="DH208" s="25"/>
      <c r="DI208" s="25"/>
      <c r="DJ208" s="25"/>
      <c r="DK208" s="25"/>
      <c r="DL208" s="25"/>
      <c r="DM208" s="25"/>
      <c r="DN208" s="25"/>
      <c r="DO208" s="25"/>
      <c r="DP208" s="25"/>
      <c r="DQ208" s="25"/>
      <c r="DR208" s="25"/>
      <c r="DS208" s="25"/>
      <c r="DT208" s="25"/>
      <c r="DU208" s="25"/>
      <c r="DV208" s="25"/>
      <c r="DW208" s="25"/>
      <c r="DX208" s="25"/>
      <c r="DY208" s="25"/>
      <c r="DZ208" s="25"/>
      <c r="EA208" s="25"/>
      <c r="EB208" s="25"/>
      <c r="EC208" s="25"/>
      <c r="ED208" s="25"/>
      <c r="EE208" s="25"/>
      <c r="EF208" s="25"/>
      <c r="EG208" s="25"/>
      <c r="EH208" s="25"/>
      <c r="EI208" s="25"/>
      <c r="EJ208" s="25"/>
      <c r="EK208" s="25"/>
      <c r="EL208" s="25"/>
      <c r="EM208" s="25"/>
      <c r="EN208" s="25"/>
      <c r="EO208" s="25"/>
      <c r="EP208" s="25"/>
      <c r="EQ208" s="25"/>
      <c r="ER208" s="25"/>
      <c r="ES208" s="25"/>
      <c r="ET208" s="25"/>
    </row>
    <row r="209" spans="9:150" x14ac:dyDescent="0.25"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 s="25"/>
      <c r="AL209" s="25"/>
      <c r="AM209" s="25"/>
      <c r="AN209" s="25"/>
      <c r="AO209" s="25"/>
      <c r="AP209" s="25"/>
      <c r="AQ209" s="25"/>
      <c r="AR209" s="25"/>
      <c r="AS209" s="25"/>
      <c r="AT209" s="25"/>
      <c r="AU209" s="25"/>
      <c r="AV209" s="25"/>
      <c r="AW209" s="25"/>
      <c r="AX209" s="25"/>
      <c r="AY209" s="25"/>
      <c r="AZ209" s="25"/>
      <c r="BA209" s="25"/>
      <c r="BB209" s="25"/>
      <c r="BC209" s="25"/>
      <c r="BD209" s="25"/>
      <c r="BE209" s="25"/>
      <c r="BF209" s="25"/>
      <c r="BG209" s="25"/>
      <c r="BH209" s="25"/>
      <c r="BI209" s="25"/>
      <c r="BJ209" s="25"/>
      <c r="BK209" s="25"/>
      <c r="BL209" s="25"/>
      <c r="BM209" s="25"/>
      <c r="BN209" s="25"/>
      <c r="BO209" s="25"/>
      <c r="BP209" s="25"/>
      <c r="BQ209" s="25"/>
      <c r="BR209" s="25"/>
      <c r="BS209" s="25"/>
      <c r="BT209" s="25"/>
      <c r="BU209" s="25"/>
      <c r="BV209" s="25"/>
      <c r="BW209" s="25"/>
      <c r="BX209" s="25"/>
      <c r="BY209" s="25"/>
      <c r="BZ209" s="25"/>
      <c r="CA209" s="25"/>
      <c r="CB209" s="25"/>
      <c r="CC209" s="25"/>
      <c r="CD209" s="25"/>
      <c r="CE209" s="25"/>
      <c r="CF209" s="25"/>
      <c r="CG209" s="25"/>
      <c r="CH209" s="25"/>
      <c r="CI209" s="25"/>
      <c r="CJ209" s="25"/>
      <c r="CK209" s="25"/>
      <c r="CL209" s="25"/>
      <c r="CM209" s="25"/>
      <c r="CN209" s="25"/>
      <c r="CO209" s="25"/>
      <c r="CP209" s="25"/>
      <c r="CQ209" s="25"/>
      <c r="CR209" s="25"/>
      <c r="CS209" s="25"/>
      <c r="CT209" s="25"/>
      <c r="CU209" s="25"/>
      <c r="CV209" s="25"/>
      <c r="CW209" s="25"/>
      <c r="CX209" s="25"/>
      <c r="CY209" s="25"/>
      <c r="CZ209" s="25"/>
      <c r="DA209" s="25"/>
      <c r="DB209" s="25"/>
      <c r="DC209" s="25"/>
      <c r="DD209" s="25"/>
      <c r="DE209" s="25"/>
      <c r="DF209" s="25"/>
      <c r="DG209" s="25"/>
      <c r="DH209" s="25"/>
      <c r="DI209" s="25"/>
      <c r="DJ209" s="25"/>
      <c r="DK209" s="25"/>
      <c r="DL209" s="25"/>
      <c r="DM209" s="25"/>
      <c r="DN209" s="25"/>
      <c r="DO209" s="25"/>
      <c r="DP209" s="25"/>
      <c r="DQ209" s="25"/>
      <c r="DR209" s="25"/>
      <c r="DS209" s="25"/>
      <c r="DT209" s="25"/>
      <c r="DU209" s="25"/>
      <c r="DV209" s="25"/>
      <c r="DW209" s="25"/>
      <c r="DX209" s="25"/>
      <c r="DY209" s="25"/>
      <c r="DZ209" s="25"/>
      <c r="EA209" s="25"/>
      <c r="EB209" s="25"/>
      <c r="EC209" s="25"/>
      <c r="ED209" s="25"/>
      <c r="EE209" s="25"/>
      <c r="EF209" s="25"/>
      <c r="EG209" s="25"/>
      <c r="EH209" s="25"/>
      <c r="EI209" s="25"/>
      <c r="EJ209" s="25"/>
      <c r="EK209" s="25"/>
      <c r="EL209" s="25"/>
      <c r="EM209" s="25"/>
      <c r="EN209" s="25"/>
      <c r="EO209" s="25"/>
      <c r="EP209" s="25"/>
      <c r="EQ209" s="25"/>
      <c r="ER209" s="25"/>
      <c r="ES209" s="25"/>
      <c r="ET209" s="25"/>
    </row>
    <row r="210" spans="9:150" x14ac:dyDescent="0.25"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 s="25"/>
      <c r="AL210" s="25"/>
      <c r="AM210" s="25"/>
      <c r="AN210" s="25"/>
      <c r="AO210" s="25"/>
      <c r="AP210" s="25"/>
      <c r="AQ210" s="25"/>
      <c r="AR210" s="25"/>
      <c r="AS210" s="25"/>
      <c r="AT210" s="25"/>
      <c r="AU210" s="25"/>
      <c r="AV210" s="25"/>
      <c r="AW210" s="25"/>
      <c r="AX210" s="25"/>
      <c r="AY210" s="25"/>
      <c r="AZ210" s="25"/>
      <c r="BA210" s="25"/>
      <c r="BB210" s="25"/>
      <c r="BC210" s="25"/>
      <c r="BD210" s="25"/>
      <c r="BE210" s="25"/>
      <c r="BF210" s="25"/>
      <c r="BG210" s="25"/>
      <c r="BH210" s="25"/>
      <c r="BI210" s="25"/>
      <c r="BJ210" s="25"/>
      <c r="BK210" s="25"/>
      <c r="BL210" s="25"/>
      <c r="BM210" s="25"/>
      <c r="BN210" s="25"/>
      <c r="BO210" s="25"/>
      <c r="BP210" s="25"/>
      <c r="BQ210" s="25"/>
      <c r="BR210" s="25"/>
      <c r="BS210" s="25"/>
      <c r="BT210" s="25"/>
      <c r="BU210" s="25"/>
      <c r="BV210" s="25"/>
      <c r="BW210" s="25"/>
      <c r="BX210" s="25"/>
      <c r="BY210" s="25"/>
      <c r="BZ210" s="25"/>
      <c r="CA210" s="25"/>
      <c r="CB210" s="25"/>
      <c r="CC210" s="25"/>
      <c r="CD210" s="25"/>
      <c r="CE210" s="25"/>
      <c r="CF210" s="25"/>
      <c r="CG210" s="25"/>
      <c r="CH210" s="25"/>
      <c r="CI210" s="25"/>
      <c r="CJ210" s="25"/>
      <c r="CK210" s="25"/>
      <c r="CL210" s="25"/>
      <c r="CM210" s="25"/>
      <c r="CN210" s="25"/>
      <c r="CO210" s="25"/>
      <c r="CP210" s="25"/>
      <c r="CQ210" s="25"/>
      <c r="CR210" s="25"/>
      <c r="CS210" s="25"/>
      <c r="CT210" s="25"/>
      <c r="CU210" s="25"/>
      <c r="CV210" s="25"/>
      <c r="CW210" s="25"/>
      <c r="CX210" s="25"/>
      <c r="CY210" s="25"/>
      <c r="CZ210" s="25"/>
      <c r="DA210" s="25"/>
      <c r="DB210" s="25"/>
      <c r="DC210" s="25"/>
      <c r="DD210" s="25"/>
      <c r="DE210" s="25"/>
      <c r="DF210" s="25"/>
      <c r="DG210" s="25"/>
      <c r="DH210" s="25"/>
      <c r="DI210" s="25"/>
      <c r="DJ210" s="25"/>
      <c r="DK210" s="25"/>
      <c r="DL210" s="25"/>
      <c r="DM210" s="25"/>
      <c r="DN210" s="25"/>
      <c r="DO210" s="25"/>
      <c r="DP210" s="25"/>
      <c r="DQ210" s="25"/>
      <c r="DR210" s="25"/>
      <c r="DS210" s="25"/>
      <c r="DT210" s="25"/>
      <c r="DU210" s="25"/>
      <c r="DV210" s="25"/>
      <c r="DW210" s="25"/>
      <c r="DX210" s="25"/>
      <c r="DY210" s="25"/>
      <c r="DZ210" s="25"/>
      <c r="EA210" s="25"/>
      <c r="EB210" s="25"/>
      <c r="EC210" s="25"/>
      <c r="ED210" s="25"/>
      <c r="EE210" s="25"/>
      <c r="EF210" s="25"/>
      <c r="EG210" s="25"/>
      <c r="EH210" s="25"/>
      <c r="EI210" s="25"/>
      <c r="EJ210" s="25"/>
      <c r="EK210" s="25"/>
      <c r="EL210" s="25"/>
      <c r="EM210" s="25"/>
      <c r="EN210" s="25"/>
      <c r="EO210" s="25"/>
      <c r="EP210" s="25"/>
      <c r="EQ210" s="25"/>
      <c r="ER210" s="25"/>
      <c r="ES210" s="25"/>
      <c r="ET210" s="25"/>
    </row>
    <row r="211" spans="9:150" x14ac:dyDescent="0.25"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 s="25"/>
      <c r="AL211" s="25"/>
      <c r="AM211" s="25"/>
      <c r="AN211" s="25"/>
      <c r="AO211" s="25"/>
      <c r="AP211" s="25"/>
      <c r="AQ211" s="25"/>
      <c r="AR211" s="25"/>
      <c r="AS211" s="25"/>
      <c r="AT211" s="25"/>
      <c r="AU211" s="25"/>
      <c r="AV211" s="25"/>
      <c r="AW211" s="25"/>
      <c r="AX211" s="25"/>
      <c r="AY211" s="25"/>
      <c r="AZ211" s="25"/>
      <c r="BA211" s="25"/>
      <c r="BB211" s="25"/>
      <c r="BC211" s="25"/>
      <c r="BD211" s="25"/>
      <c r="BE211" s="25"/>
      <c r="BF211" s="25"/>
      <c r="BG211" s="25"/>
      <c r="BH211" s="25"/>
      <c r="BI211" s="25"/>
      <c r="BJ211" s="25"/>
      <c r="BK211" s="25"/>
      <c r="BL211" s="25"/>
      <c r="BM211" s="25"/>
      <c r="BN211" s="25"/>
      <c r="BO211" s="25"/>
      <c r="BP211" s="25"/>
      <c r="BQ211" s="25"/>
      <c r="BR211" s="25"/>
      <c r="BS211" s="25"/>
      <c r="BT211" s="25"/>
      <c r="BU211" s="25"/>
      <c r="BV211" s="25"/>
      <c r="BW211" s="25"/>
      <c r="BX211" s="25"/>
      <c r="BY211" s="25"/>
      <c r="BZ211" s="25"/>
      <c r="CA211" s="25"/>
      <c r="CB211" s="25"/>
      <c r="CC211" s="25"/>
      <c r="CD211" s="25"/>
      <c r="CE211" s="25"/>
      <c r="CF211" s="25"/>
      <c r="CG211" s="25"/>
      <c r="CH211" s="25"/>
      <c r="CI211" s="25"/>
      <c r="CJ211" s="25"/>
      <c r="CK211" s="25"/>
      <c r="CL211" s="25"/>
      <c r="CM211" s="25"/>
      <c r="CN211" s="25"/>
      <c r="CO211" s="25"/>
      <c r="CP211" s="25"/>
      <c r="CQ211" s="25"/>
      <c r="CR211" s="25"/>
      <c r="CS211" s="25"/>
      <c r="CT211" s="25"/>
      <c r="CU211" s="25"/>
      <c r="CV211" s="25"/>
      <c r="CW211" s="25"/>
      <c r="CX211" s="25"/>
      <c r="CY211" s="25"/>
      <c r="CZ211" s="25"/>
      <c r="DA211" s="25"/>
      <c r="DB211" s="25"/>
      <c r="DC211" s="25"/>
      <c r="DD211" s="25"/>
      <c r="DE211" s="25"/>
      <c r="DF211" s="25"/>
      <c r="DG211" s="25"/>
      <c r="DH211" s="25"/>
      <c r="DI211" s="25"/>
      <c r="DJ211" s="25"/>
      <c r="DK211" s="25"/>
      <c r="DL211" s="25"/>
      <c r="DM211" s="25"/>
      <c r="DN211" s="25"/>
      <c r="DO211" s="25"/>
      <c r="DP211" s="25"/>
      <c r="DQ211" s="25"/>
      <c r="DR211" s="25"/>
      <c r="DS211" s="25"/>
      <c r="DT211" s="25"/>
      <c r="DU211" s="25"/>
      <c r="DV211" s="25"/>
      <c r="DW211" s="25"/>
      <c r="DX211" s="25"/>
      <c r="DY211" s="25"/>
      <c r="DZ211" s="25"/>
      <c r="EA211" s="25"/>
      <c r="EB211" s="25"/>
      <c r="EC211" s="25"/>
      <c r="ED211" s="25"/>
      <c r="EE211" s="25"/>
      <c r="EF211" s="25"/>
      <c r="EG211" s="25"/>
      <c r="EH211" s="25"/>
      <c r="EI211" s="25"/>
      <c r="EJ211" s="25"/>
      <c r="EK211" s="25"/>
      <c r="EL211" s="25"/>
      <c r="EM211" s="25"/>
      <c r="EN211" s="25"/>
      <c r="EO211" s="25"/>
      <c r="EP211" s="25"/>
      <c r="EQ211" s="25"/>
      <c r="ER211" s="25"/>
      <c r="ES211" s="25"/>
      <c r="ET211" s="25"/>
    </row>
    <row r="212" spans="9:150" x14ac:dyDescent="0.25"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 s="25"/>
      <c r="AL212" s="25"/>
      <c r="AM212" s="25"/>
      <c r="AN212" s="25"/>
      <c r="AO212" s="25"/>
      <c r="AP212" s="25"/>
      <c r="AQ212" s="25"/>
      <c r="AR212" s="25"/>
      <c r="AS212" s="25"/>
      <c r="AT212" s="25"/>
      <c r="AU212" s="25"/>
      <c r="AV212" s="25"/>
      <c r="AW212" s="25"/>
      <c r="AX212" s="25"/>
      <c r="AY212" s="25"/>
      <c r="AZ212" s="25"/>
      <c r="BA212" s="25"/>
      <c r="BB212" s="25"/>
      <c r="BC212" s="25"/>
      <c r="BD212" s="25"/>
      <c r="BE212" s="25"/>
      <c r="BF212" s="25"/>
      <c r="BG212" s="25"/>
      <c r="BH212" s="25"/>
      <c r="BI212" s="25"/>
      <c r="BJ212" s="25"/>
      <c r="BK212" s="25"/>
      <c r="BL212" s="25"/>
      <c r="BM212" s="25"/>
      <c r="BN212" s="25"/>
      <c r="BO212" s="25"/>
      <c r="BP212" s="25"/>
      <c r="BQ212" s="25"/>
      <c r="BR212" s="25"/>
      <c r="BS212" s="25"/>
      <c r="BT212" s="25"/>
      <c r="BU212" s="25"/>
      <c r="BV212" s="25"/>
      <c r="BW212" s="25"/>
      <c r="BX212" s="25"/>
      <c r="BY212" s="25"/>
      <c r="BZ212" s="25"/>
      <c r="CA212" s="25"/>
      <c r="CB212" s="25"/>
      <c r="CC212" s="25"/>
      <c r="CD212" s="25"/>
      <c r="CE212" s="25"/>
      <c r="CF212" s="25"/>
      <c r="CG212" s="25"/>
      <c r="CH212" s="25"/>
      <c r="CI212" s="25"/>
      <c r="CJ212" s="25"/>
      <c r="CK212" s="25"/>
      <c r="CL212" s="25"/>
      <c r="CM212" s="25"/>
      <c r="CN212" s="25"/>
      <c r="CO212" s="25"/>
      <c r="CP212" s="25"/>
      <c r="CQ212" s="25"/>
      <c r="CR212" s="25"/>
      <c r="CS212" s="25"/>
      <c r="CT212" s="25"/>
      <c r="CU212" s="25"/>
      <c r="CV212" s="25"/>
      <c r="CW212" s="25"/>
      <c r="CX212" s="25"/>
      <c r="CY212" s="25"/>
      <c r="CZ212" s="25"/>
      <c r="DA212" s="25"/>
      <c r="DB212" s="25"/>
      <c r="DC212" s="25"/>
      <c r="DD212" s="25"/>
      <c r="DE212" s="25"/>
      <c r="DF212" s="25"/>
      <c r="DG212" s="25"/>
      <c r="DH212" s="25"/>
      <c r="DI212" s="25"/>
      <c r="DJ212" s="25"/>
      <c r="DK212" s="25"/>
      <c r="DL212" s="25"/>
      <c r="DM212" s="25"/>
      <c r="DN212" s="25"/>
      <c r="DO212" s="25"/>
      <c r="DP212" s="25"/>
      <c r="DQ212" s="25"/>
      <c r="DR212" s="25"/>
      <c r="DS212" s="25"/>
      <c r="DT212" s="25"/>
      <c r="DU212" s="25"/>
      <c r="DV212" s="25"/>
      <c r="DW212" s="25"/>
      <c r="DX212" s="25"/>
      <c r="DY212" s="25"/>
      <c r="DZ212" s="25"/>
      <c r="EA212" s="25"/>
      <c r="EB212" s="25"/>
      <c r="EC212" s="25"/>
      <c r="ED212" s="25"/>
      <c r="EE212" s="25"/>
      <c r="EF212" s="25"/>
      <c r="EG212" s="25"/>
      <c r="EH212" s="25"/>
      <c r="EI212" s="25"/>
      <c r="EJ212" s="25"/>
      <c r="EK212" s="25"/>
      <c r="EL212" s="25"/>
      <c r="EM212" s="25"/>
      <c r="EN212" s="25"/>
      <c r="EO212" s="25"/>
      <c r="EP212" s="25"/>
      <c r="EQ212" s="25"/>
      <c r="ER212" s="25"/>
      <c r="ES212" s="25"/>
      <c r="ET212" s="25"/>
    </row>
    <row r="213" spans="9:150" x14ac:dyDescent="0.25"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 s="25"/>
      <c r="AL213" s="25"/>
      <c r="AM213" s="25"/>
      <c r="AN213" s="25"/>
      <c r="AO213" s="25"/>
      <c r="AP213" s="25"/>
      <c r="AQ213" s="25"/>
      <c r="AR213" s="25"/>
      <c r="AS213" s="25"/>
      <c r="AT213" s="25"/>
      <c r="AU213" s="25"/>
      <c r="AV213" s="25"/>
      <c r="AW213" s="25"/>
      <c r="AX213" s="25"/>
      <c r="AY213" s="25"/>
      <c r="AZ213" s="25"/>
      <c r="BA213" s="25"/>
      <c r="BB213" s="25"/>
      <c r="BC213" s="25"/>
      <c r="BD213" s="25"/>
      <c r="BE213" s="25"/>
      <c r="BF213" s="25"/>
      <c r="BG213" s="25"/>
      <c r="BH213" s="25"/>
      <c r="BI213" s="25"/>
      <c r="BJ213" s="25"/>
      <c r="BK213" s="25"/>
      <c r="BL213" s="25"/>
      <c r="BM213" s="25"/>
      <c r="BN213" s="25"/>
      <c r="BO213" s="25"/>
      <c r="BP213" s="25"/>
      <c r="BQ213" s="25"/>
      <c r="BR213" s="25"/>
      <c r="BS213" s="25"/>
      <c r="BT213" s="25"/>
      <c r="BU213" s="25"/>
      <c r="BV213" s="25"/>
      <c r="BW213" s="25"/>
      <c r="BX213" s="25"/>
      <c r="BY213" s="25"/>
      <c r="BZ213" s="25"/>
      <c r="CA213" s="25"/>
      <c r="CB213" s="25"/>
      <c r="CC213" s="25"/>
      <c r="CD213" s="25"/>
      <c r="CE213" s="25"/>
      <c r="CF213" s="25"/>
      <c r="CG213" s="25"/>
      <c r="CH213" s="25"/>
      <c r="CI213" s="25"/>
      <c r="CJ213" s="25"/>
      <c r="CK213" s="25"/>
      <c r="CL213" s="25"/>
      <c r="CM213" s="25"/>
      <c r="CN213" s="25"/>
      <c r="CO213" s="25"/>
      <c r="CP213" s="25"/>
      <c r="CQ213" s="25"/>
      <c r="CR213" s="25"/>
      <c r="CS213" s="25"/>
      <c r="CT213" s="25"/>
      <c r="CU213" s="25"/>
      <c r="CV213" s="25"/>
      <c r="CW213" s="25"/>
      <c r="CX213" s="25"/>
      <c r="CY213" s="25"/>
      <c r="CZ213" s="25"/>
      <c r="DA213" s="25"/>
      <c r="DB213" s="25"/>
      <c r="DC213" s="25"/>
      <c r="DD213" s="25"/>
      <c r="DE213" s="25"/>
      <c r="DF213" s="25"/>
      <c r="DG213" s="25"/>
      <c r="DH213" s="25"/>
      <c r="DI213" s="25"/>
      <c r="DJ213" s="25"/>
      <c r="DK213" s="25"/>
      <c r="DL213" s="25"/>
      <c r="DM213" s="25"/>
      <c r="DN213" s="25"/>
      <c r="DO213" s="25"/>
      <c r="DP213" s="25"/>
      <c r="DQ213" s="25"/>
      <c r="DR213" s="25"/>
      <c r="DS213" s="25"/>
      <c r="DT213" s="25"/>
      <c r="DU213" s="25"/>
      <c r="DV213" s="25"/>
      <c r="DW213" s="25"/>
      <c r="DX213" s="25"/>
      <c r="DY213" s="25"/>
      <c r="DZ213" s="25"/>
      <c r="EA213" s="25"/>
      <c r="EB213" s="25"/>
      <c r="EC213" s="25"/>
      <c r="ED213" s="25"/>
      <c r="EE213" s="25"/>
      <c r="EF213" s="25"/>
      <c r="EG213" s="25"/>
      <c r="EH213" s="25"/>
      <c r="EI213" s="25"/>
      <c r="EJ213" s="25"/>
      <c r="EK213" s="25"/>
      <c r="EL213" s="25"/>
      <c r="EM213" s="25"/>
      <c r="EN213" s="25"/>
      <c r="EO213" s="25"/>
      <c r="EP213" s="25"/>
      <c r="EQ213" s="25"/>
      <c r="ER213" s="25"/>
      <c r="ES213" s="25"/>
      <c r="ET213" s="25"/>
    </row>
    <row r="214" spans="9:150" x14ac:dyDescent="0.25"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 s="25"/>
      <c r="AL214" s="25"/>
      <c r="AM214" s="25"/>
      <c r="AN214" s="25"/>
      <c r="AO214" s="25"/>
      <c r="AP214" s="25"/>
      <c r="AQ214" s="25"/>
      <c r="AR214" s="25"/>
      <c r="AS214" s="25"/>
      <c r="AT214" s="25"/>
      <c r="AU214" s="25"/>
      <c r="AV214" s="25"/>
      <c r="AW214" s="25"/>
      <c r="AX214" s="25"/>
      <c r="AY214" s="25"/>
      <c r="AZ214" s="25"/>
      <c r="BA214" s="25"/>
      <c r="BB214" s="25"/>
      <c r="BC214" s="25"/>
      <c r="BD214" s="25"/>
      <c r="BE214" s="25"/>
      <c r="BF214" s="25"/>
      <c r="BG214" s="25"/>
      <c r="BH214" s="25"/>
      <c r="BI214" s="25"/>
      <c r="BJ214" s="25"/>
      <c r="BK214" s="25"/>
      <c r="BL214" s="25"/>
      <c r="BM214" s="25"/>
      <c r="BN214" s="25"/>
      <c r="BO214" s="25"/>
      <c r="BP214" s="25"/>
      <c r="BQ214" s="25"/>
      <c r="BR214" s="25"/>
      <c r="BS214" s="25"/>
      <c r="BT214" s="25"/>
      <c r="BU214" s="25"/>
      <c r="BV214" s="25"/>
      <c r="BW214" s="25"/>
      <c r="BX214" s="25"/>
      <c r="BY214" s="25"/>
      <c r="BZ214" s="25"/>
      <c r="CA214" s="25"/>
      <c r="CB214" s="25"/>
      <c r="CC214" s="25"/>
      <c r="CD214" s="25"/>
      <c r="CE214" s="25"/>
      <c r="CF214" s="25"/>
      <c r="CG214" s="25"/>
      <c r="CH214" s="25"/>
      <c r="CI214" s="25"/>
      <c r="CJ214" s="25"/>
      <c r="CK214" s="25"/>
      <c r="CL214" s="25"/>
      <c r="CM214" s="25"/>
      <c r="CN214" s="25"/>
      <c r="CO214" s="25"/>
      <c r="CP214" s="25"/>
      <c r="CQ214" s="25"/>
      <c r="CR214" s="25"/>
      <c r="CS214" s="25"/>
      <c r="CT214" s="25"/>
      <c r="CU214" s="25"/>
      <c r="CV214" s="25"/>
      <c r="CW214" s="25"/>
      <c r="CX214" s="25"/>
      <c r="CY214" s="25"/>
      <c r="CZ214" s="25"/>
      <c r="DA214" s="25"/>
      <c r="DB214" s="25"/>
      <c r="DC214" s="25"/>
      <c r="DD214" s="25"/>
      <c r="DE214" s="25"/>
      <c r="DF214" s="25"/>
      <c r="DG214" s="25"/>
      <c r="DH214" s="25"/>
      <c r="DI214" s="25"/>
      <c r="DJ214" s="25"/>
      <c r="DK214" s="25"/>
      <c r="DL214" s="25"/>
      <c r="DM214" s="25"/>
      <c r="DN214" s="25"/>
      <c r="DO214" s="25"/>
      <c r="DP214" s="25"/>
      <c r="DQ214" s="25"/>
      <c r="DR214" s="25"/>
      <c r="DS214" s="25"/>
      <c r="DT214" s="25"/>
      <c r="DU214" s="25"/>
      <c r="DV214" s="25"/>
      <c r="DW214" s="25"/>
      <c r="DX214" s="25"/>
      <c r="DY214" s="25"/>
      <c r="DZ214" s="25"/>
      <c r="EA214" s="25"/>
      <c r="EB214" s="25"/>
      <c r="EC214" s="25"/>
      <c r="ED214" s="25"/>
      <c r="EE214" s="25"/>
      <c r="EF214" s="25"/>
      <c r="EG214" s="25"/>
      <c r="EH214" s="25"/>
      <c r="EI214" s="25"/>
      <c r="EJ214" s="25"/>
      <c r="EK214" s="25"/>
      <c r="EL214" s="25"/>
      <c r="EM214" s="25"/>
      <c r="EN214" s="25"/>
      <c r="EO214" s="25"/>
      <c r="EP214" s="25"/>
      <c r="EQ214" s="25"/>
      <c r="ER214" s="25"/>
      <c r="ES214" s="25"/>
      <c r="ET214" s="25"/>
    </row>
    <row r="215" spans="9:150" x14ac:dyDescent="0.25"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 s="25"/>
      <c r="AL215" s="25"/>
      <c r="AM215" s="25"/>
      <c r="AN215" s="25"/>
      <c r="AO215" s="25"/>
      <c r="AP215" s="25"/>
      <c r="AQ215" s="25"/>
      <c r="AR215" s="25"/>
      <c r="AS215" s="25"/>
      <c r="AT215" s="25"/>
      <c r="AU215" s="25"/>
      <c r="AV215" s="25"/>
      <c r="AW215" s="25"/>
      <c r="AX215" s="25"/>
      <c r="AY215" s="25"/>
      <c r="AZ215" s="25"/>
      <c r="BA215" s="25"/>
      <c r="BB215" s="25"/>
      <c r="BC215" s="25"/>
      <c r="BD215" s="25"/>
      <c r="BE215" s="25"/>
      <c r="BF215" s="25"/>
      <c r="BG215" s="25"/>
      <c r="BH215" s="25"/>
      <c r="BI215" s="25"/>
      <c r="BJ215" s="25"/>
      <c r="BK215" s="25"/>
      <c r="BL215" s="25"/>
      <c r="BM215" s="25"/>
      <c r="BN215" s="25"/>
      <c r="BO215" s="25"/>
      <c r="BP215" s="25"/>
      <c r="BQ215" s="25"/>
      <c r="BR215" s="25"/>
      <c r="BS215" s="25"/>
      <c r="BT215" s="25"/>
      <c r="BU215" s="25"/>
      <c r="BV215" s="25"/>
      <c r="BW215" s="25"/>
      <c r="BX215" s="25"/>
      <c r="BY215" s="25"/>
      <c r="BZ215" s="25"/>
      <c r="CA215" s="25"/>
      <c r="CB215" s="25"/>
      <c r="CC215" s="25"/>
      <c r="CD215" s="25"/>
      <c r="CE215" s="25"/>
      <c r="CF215" s="25"/>
      <c r="CG215" s="25"/>
      <c r="CH215" s="25"/>
      <c r="CI215" s="25"/>
      <c r="CJ215" s="25"/>
      <c r="CK215" s="25"/>
      <c r="CL215" s="25"/>
      <c r="CM215" s="25"/>
      <c r="CN215" s="25"/>
      <c r="CO215" s="25"/>
      <c r="CP215" s="25"/>
      <c r="CQ215" s="25"/>
      <c r="CR215" s="25"/>
      <c r="CS215" s="25"/>
      <c r="CT215" s="25"/>
      <c r="CU215" s="25"/>
      <c r="CV215" s="25"/>
      <c r="CW215" s="25"/>
      <c r="CX215" s="25"/>
      <c r="CY215" s="25"/>
      <c r="CZ215" s="25"/>
      <c r="DA215" s="25"/>
      <c r="DB215" s="25"/>
      <c r="DC215" s="25"/>
      <c r="DD215" s="25"/>
      <c r="DE215" s="25"/>
      <c r="DF215" s="25"/>
      <c r="DG215" s="25"/>
      <c r="DH215" s="25"/>
      <c r="DI215" s="25"/>
      <c r="DJ215" s="25"/>
      <c r="DK215" s="25"/>
      <c r="DL215" s="25"/>
      <c r="DM215" s="25"/>
      <c r="DN215" s="25"/>
      <c r="DO215" s="25"/>
      <c r="DP215" s="25"/>
      <c r="DQ215" s="25"/>
      <c r="DR215" s="25"/>
      <c r="DS215" s="25"/>
      <c r="DT215" s="25"/>
      <c r="DU215" s="25"/>
      <c r="DV215" s="25"/>
      <c r="DW215" s="25"/>
      <c r="DX215" s="25"/>
      <c r="DY215" s="25"/>
      <c r="DZ215" s="25"/>
      <c r="EA215" s="25"/>
      <c r="EB215" s="25"/>
      <c r="EC215" s="25"/>
      <c r="ED215" s="25"/>
      <c r="EE215" s="25"/>
      <c r="EF215" s="25"/>
      <c r="EG215" s="25"/>
      <c r="EH215" s="25"/>
      <c r="EI215" s="25"/>
      <c r="EJ215" s="25"/>
      <c r="EK215" s="25"/>
      <c r="EL215" s="25"/>
      <c r="EM215" s="25"/>
      <c r="EN215" s="25"/>
      <c r="EO215" s="25"/>
      <c r="EP215" s="25"/>
      <c r="EQ215" s="25"/>
      <c r="ER215" s="25"/>
      <c r="ES215" s="25"/>
      <c r="ET215" s="25"/>
    </row>
    <row r="216" spans="9:150" x14ac:dyDescent="0.25"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 s="25"/>
      <c r="AL216" s="25"/>
      <c r="AM216" s="25"/>
      <c r="AN216" s="25"/>
      <c r="AO216" s="25"/>
      <c r="AP216" s="25"/>
      <c r="AQ216" s="25"/>
      <c r="AR216" s="25"/>
      <c r="AS216" s="25"/>
      <c r="AT216" s="25"/>
      <c r="AU216" s="25"/>
      <c r="AV216" s="25"/>
      <c r="AW216" s="25"/>
      <c r="AX216" s="25"/>
      <c r="AY216" s="25"/>
      <c r="AZ216" s="25"/>
      <c r="BA216" s="25"/>
      <c r="BB216" s="25"/>
      <c r="BC216" s="25"/>
      <c r="BD216" s="25"/>
      <c r="BE216" s="25"/>
      <c r="BF216" s="25"/>
      <c r="BG216" s="25"/>
      <c r="BH216" s="25"/>
      <c r="BI216" s="25"/>
      <c r="BJ216" s="25"/>
      <c r="BK216" s="25"/>
      <c r="BL216" s="25"/>
      <c r="BM216" s="25"/>
      <c r="BN216" s="25"/>
      <c r="BO216" s="25"/>
      <c r="BP216" s="25"/>
      <c r="BQ216" s="25"/>
      <c r="BR216" s="25"/>
      <c r="BS216" s="25"/>
      <c r="BT216" s="25"/>
      <c r="BU216" s="25"/>
      <c r="BV216" s="25"/>
      <c r="BW216" s="25"/>
      <c r="BX216" s="25"/>
      <c r="BY216" s="25"/>
      <c r="BZ216" s="25"/>
      <c r="CA216" s="25"/>
      <c r="CB216" s="25"/>
      <c r="CC216" s="25"/>
      <c r="CD216" s="25"/>
      <c r="CE216" s="25"/>
      <c r="CF216" s="25"/>
      <c r="CG216" s="25"/>
      <c r="CH216" s="25"/>
      <c r="CI216" s="25"/>
      <c r="CJ216" s="25"/>
      <c r="CK216" s="25"/>
      <c r="CL216" s="25"/>
      <c r="CM216" s="25"/>
      <c r="CN216" s="25"/>
      <c r="CO216" s="25"/>
      <c r="CP216" s="25"/>
      <c r="CQ216" s="25"/>
      <c r="CR216" s="25"/>
      <c r="CS216" s="25"/>
      <c r="CT216" s="25"/>
      <c r="CU216" s="25"/>
      <c r="CV216" s="25"/>
      <c r="CW216" s="25"/>
      <c r="CX216" s="25"/>
      <c r="CY216" s="25"/>
      <c r="CZ216" s="25"/>
      <c r="DA216" s="25"/>
      <c r="DB216" s="25"/>
      <c r="DC216" s="25"/>
      <c r="DD216" s="25"/>
      <c r="DE216" s="25"/>
      <c r="DF216" s="25"/>
      <c r="DG216" s="25"/>
      <c r="DH216" s="25"/>
      <c r="DI216" s="25"/>
      <c r="DJ216" s="25"/>
      <c r="DK216" s="25"/>
      <c r="DL216" s="25"/>
      <c r="DM216" s="25"/>
      <c r="DN216" s="25"/>
      <c r="DO216" s="25"/>
      <c r="DP216" s="25"/>
      <c r="DQ216" s="25"/>
      <c r="DR216" s="25"/>
      <c r="DS216" s="25"/>
      <c r="DT216" s="25"/>
      <c r="DU216" s="25"/>
      <c r="DV216" s="25"/>
      <c r="DW216" s="25"/>
      <c r="DX216" s="25"/>
      <c r="DY216" s="25"/>
      <c r="DZ216" s="25"/>
      <c r="EA216" s="25"/>
      <c r="EB216" s="25"/>
      <c r="EC216" s="25"/>
      <c r="ED216" s="25"/>
      <c r="EE216" s="25"/>
      <c r="EF216" s="25"/>
      <c r="EG216" s="25"/>
      <c r="EH216" s="25"/>
      <c r="EI216" s="25"/>
      <c r="EJ216" s="25"/>
      <c r="EK216" s="25"/>
      <c r="EL216" s="25"/>
      <c r="EM216" s="25"/>
      <c r="EN216" s="25"/>
      <c r="EO216" s="25"/>
      <c r="EP216" s="25"/>
      <c r="EQ216" s="25"/>
      <c r="ER216" s="25"/>
      <c r="ES216" s="25"/>
      <c r="ET216" s="25"/>
    </row>
    <row r="217" spans="9:150" x14ac:dyDescent="0.25"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 s="25"/>
      <c r="AL217" s="25"/>
      <c r="AM217" s="25"/>
      <c r="AN217" s="25"/>
      <c r="AO217" s="25"/>
      <c r="AP217" s="25"/>
      <c r="AQ217" s="25"/>
      <c r="AR217" s="25"/>
      <c r="AS217" s="25"/>
      <c r="AT217" s="25"/>
      <c r="AU217" s="25"/>
      <c r="AV217" s="25"/>
      <c r="AW217" s="25"/>
      <c r="AX217" s="25"/>
      <c r="AY217" s="25"/>
      <c r="AZ217" s="25"/>
      <c r="BA217" s="25"/>
      <c r="BB217" s="25"/>
      <c r="BC217" s="25"/>
      <c r="BD217" s="25"/>
      <c r="BE217" s="25"/>
      <c r="BF217" s="25"/>
      <c r="BG217" s="25"/>
      <c r="BH217" s="25"/>
      <c r="BI217" s="25"/>
      <c r="BJ217" s="25"/>
      <c r="BK217" s="25"/>
      <c r="BL217" s="25"/>
      <c r="BM217" s="25"/>
      <c r="BN217" s="25"/>
      <c r="BO217" s="25"/>
      <c r="BP217" s="25"/>
      <c r="BQ217" s="25"/>
      <c r="BR217" s="25"/>
      <c r="BS217" s="25"/>
      <c r="BT217" s="25"/>
      <c r="BU217" s="25"/>
      <c r="BV217" s="25"/>
      <c r="BW217" s="25"/>
      <c r="BX217" s="25"/>
      <c r="BY217" s="25"/>
      <c r="BZ217" s="25"/>
      <c r="CA217" s="25"/>
      <c r="CB217" s="25"/>
      <c r="CC217" s="25"/>
      <c r="CD217" s="25"/>
      <c r="CE217" s="25"/>
      <c r="CF217" s="25"/>
      <c r="CG217" s="25"/>
      <c r="CH217" s="25"/>
      <c r="CI217" s="25"/>
      <c r="CJ217" s="25"/>
      <c r="CK217" s="25"/>
      <c r="CL217" s="25"/>
      <c r="CM217" s="25"/>
      <c r="CN217" s="25"/>
      <c r="CO217" s="25"/>
      <c r="CP217" s="25"/>
      <c r="CQ217" s="25"/>
      <c r="CR217" s="25"/>
      <c r="CS217" s="25"/>
      <c r="CT217" s="25"/>
      <c r="CU217" s="25"/>
      <c r="CV217" s="25"/>
      <c r="CW217" s="25"/>
      <c r="CX217" s="25"/>
      <c r="CY217" s="25"/>
      <c r="CZ217" s="25"/>
      <c r="DA217" s="25"/>
      <c r="DB217" s="25"/>
      <c r="DC217" s="25"/>
      <c r="DD217" s="25"/>
      <c r="DE217" s="25"/>
      <c r="DF217" s="25"/>
      <c r="DG217" s="25"/>
      <c r="DH217" s="25"/>
      <c r="DI217" s="25"/>
      <c r="DJ217" s="25"/>
      <c r="DK217" s="25"/>
      <c r="DL217" s="25"/>
      <c r="DM217" s="25"/>
      <c r="DN217" s="25"/>
      <c r="DO217" s="25"/>
      <c r="DP217" s="25"/>
      <c r="DQ217" s="25"/>
      <c r="DR217" s="25"/>
      <c r="DS217" s="25"/>
      <c r="DT217" s="25"/>
      <c r="DU217" s="25"/>
      <c r="DV217" s="25"/>
      <c r="DW217" s="25"/>
      <c r="DX217" s="25"/>
      <c r="DY217" s="25"/>
      <c r="DZ217" s="25"/>
      <c r="EA217" s="25"/>
      <c r="EB217" s="25"/>
      <c r="EC217" s="25"/>
      <c r="ED217" s="25"/>
      <c r="EE217" s="25"/>
      <c r="EF217" s="25"/>
      <c r="EG217" s="25"/>
      <c r="EH217" s="25"/>
      <c r="EI217" s="25"/>
      <c r="EJ217" s="25"/>
      <c r="EK217" s="25"/>
      <c r="EL217" s="25"/>
      <c r="EM217" s="25"/>
      <c r="EN217" s="25"/>
      <c r="EO217" s="25"/>
      <c r="EP217" s="25"/>
      <c r="EQ217" s="25"/>
      <c r="ER217" s="25"/>
      <c r="ES217" s="25"/>
      <c r="ET217" s="25"/>
    </row>
    <row r="218" spans="9:150" x14ac:dyDescent="0.25"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 s="25"/>
      <c r="AL218" s="25"/>
      <c r="AM218" s="25"/>
      <c r="AN218" s="25"/>
      <c r="AO218" s="25"/>
      <c r="AP218" s="25"/>
      <c r="AQ218" s="25"/>
      <c r="AR218" s="25"/>
      <c r="AS218" s="25"/>
      <c r="AT218" s="25"/>
      <c r="AU218" s="25"/>
      <c r="AV218" s="25"/>
      <c r="AW218" s="25"/>
      <c r="AX218" s="25"/>
      <c r="AY218" s="25"/>
      <c r="AZ218" s="25"/>
      <c r="BA218" s="25"/>
      <c r="BB218" s="25"/>
      <c r="BC218" s="25"/>
      <c r="BD218" s="25"/>
      <c r="BE218" s="25"/>
      <c r="BF218" s="25"/>
      <c r="BG218" s="25"/>
      <c r="BH218" s="25"/>
      <c r="BI218" s="25"/>
      <c r="BJ218" s="25"/>
      <c r="BK218" s="25"/>
      <c r="BL218" s="25"/>
      <c r="BM218" s="25"/>
      <c r="BN218" s="25"/>
      <c r="BO218" s="25"/>
      <c r="BP218" s="25"/>
      <c r="BQ218" s="25"/>
      <c r="BR218" s="25"/>
      <c r="BS218" s="25"/>
      <c r="BT218" s="25"/>
      <c r="BU218" s="25"/>
      <c r="BV218" s="25"/>
      <c r="BW218" s="25"/>
      <c r="BX218" s="25"/>
      <c r="BY218" s="25"/>
      <c r="BZ218" s="25"/>
      <c r="CA218" s="25"/>
      <c r="CB218" s="25"/>
      <c r="CC218" s="25"/>
      <c r="CD218" s="25"/>
      <c r="CE218" s="25"/>
      <c r="CF218" s="25"/>
      <c r="CG218" s="25"/>
      <c r="CH218" s="25"/>
      <c r="CI218" s="25"/>
      <c r="CJ218" s="25"/>
      <c r="CK218" s="25"/>
      <c r="CL218" s="25"/>
      <c r="CM218" s="25"/>
      <c r="CN218" s="25"/>
      <c r="CO218" s="25"/>
      <c r="CP218" s="25"/>
      <c r="CQ218" s="25"/>
      <c r="CR218" s="25"/>
      <c r="CS218" s="25"/>
      <c r="CT218" s="25"/>
      <c r="CU218" s="25"/>
      <c r="CV218" s="25"/>
      <c r="CW218" s="25"/>
      <c r="CX218" s="25"/>
      <c r="CY218" s="25"/>
      <c r="CZ218" s="25"/>
      <c r="DA218" s="25"/>
      <c r="DB218" s="25"/>
      <c r="DC218" s="25"/>
      <c r="DD218" s="25"/>
      <c r="DE218" s="25"/>
      <c r="DF218" s="25"/>
      <c r="DG218" s="25"/>
      <c r="DH218" s="25"/>
      <c r="DI218" s="25"/>
      <c r="DJ218" s="25"/>
      <c r="DK218" s="25"/>
      <c r="DL218" s="25"/>
      <c r="DM218" s="25"/>
      <c r="DN218" s="25"/>
      <c r="DO218" s="25"/>
      <c r="DP218" s="25"/>
      <c r="DQ218" s="25"/>
      <c r="DR218" s="25"/>
      <c r="DS218" s="25"/>
      <c r="DT218" s="25"/>
      <c r="DU218" s="25"/>
      <c r="DV218" s="25"/>
      <c r="DW218" s="25"/>
      <c r="DX218" s="25"/>
      <c r="DY218" s="25"/>
      <c r="DZ218" s="25"/>
      <c r="EA218" s="25"/>
      <c r="EB218" s="25"/>
      <c r="EC218" s="25"/>
      <c r="ED218" s="25"/>
      <c r="EE218" s="25"/>
      <c r="EF218" s="25"/>
      <c r="EG218" s="25"/>
      <c r="EH218" s="25"/>
      <c r="EI218" s="25"/>
      <c r="EJ218" s="25"/>
      <c r="EK218" s="25"/>
      <c r="EL218" s="25"/>
      <c r="EM218" s="25"/>
      <c r="EN218" s="25"/>
      <c r="EO218" s="25"/>
      <c r="EP218" s="25"/>
      <c r="EQ218" s="25"/>
      <c r="ER218" s="25"/>
      <c r="ES218" s="25"/>
      <c r="ET218" s="25"/>
    </row>
    <row r="219" spans="9:150" x14ac:dyDescent="0.25"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 s="25"/>
      <c r="AL219" s="25"/>
      <c r="AM219" s="25"/>
      <c r="AN219" s="25"/>
      <c r="AO219" s="25"/>
      <c r="AP219" s="25"/>
      <c r="AQ219" s="25"/>
      <c r="AR219" s="25"/>
      <c r="AS219" s="25"/>
      <c r="AT219" s="25"/>
      <c r="AU219" s="25"/>
      <c r="AV219" s="25"/>
      <c r="AW219" s="25"/>
      <c r="AX219" s="25"/>
      <c r="AY219" s="25"/>
      <c r="AZ219" s="25"/>
      <c r="BA219" s="25"/>
      <c r="BB219" s="25"/>
      <c r="BC219" s="25"/>
      <c r="BD219" s="25"/>
      <c r="BE219" s="25"/>
      <c r="BF219" s="25"/>
      <c r="BG219" s="25"/>
      <c r="BH219" s="25"/>
      <c r="BI219" s="25"/>
      <c r="BJ219" s="25"/>
      <c r="BK219" s="25"/>
      <c r="BL219" s="25"/>
      <c r="BM219" s="25"/>
      <c r="BN219" s="25"/>
      <c r="BO219" s="25"/>
      <c r="BP219" s="25"/>
      <c r="BQ219" s="25"/>
      <c r="BR219" s="25"/>
      <c r="BS219" s="25"/>
      <c r="BT219" s="25"/>
      <c r="BU219" s="25"/>
      <c r="BV219" s="25"/>
      <c r="BW219" s="25"/>
      <c r="BX219" s="25"/>
      <c r="BY219" s="25"/>
      <c r="BZ219" s="25"/>
      <c r="CA219" s="25"/>
      <c r="CB219" s="25"/>
      <c r="CC219" s="25"/>
      <c r="CD219" s="25"/>
      <c r="CE219" s="25"/>
      <c r="CF219" s="25"/>
      <c r="CG219" s="25"/>
      <c r="CH219" s="25"/>
      <c r="CI219" s="25"/>
      <c r="CJ219" s="25"/>
      <c r="CK219" s="25"/>
      <c r="CL219" s="25"/>
      <c r="CM219" s="25"/>
      <c r="CN219" s="25"/>
      <c r="CO219" s="25"/>
      <c r="CP219" s="25"/>
      <c r="CQ219" s="25"/>
      <c r="CR219" s="25"/>
      <c r="CS219" s="25"/>
      <c r="CT219" s="25"/>
      <c r="CU219" s="25"/>
      <c r="CV219" s="25"/>
      <c r="CW219" s="25"/>
      <c r="CX219" s="25"/>
      <c r="CY219" s="25"/>
      <c r="CZ219" s="25"/>
      <c r="DA219" s="25"/>
      <c r="DB219" s="25"/>
      <c r="DC219" s="25"/>
      <c r="DD219" s="25"/>
      <c r="DE219" s="25"/>
      <c r="DF219" s="25"/>
      <c r="DG219" s="25"/>
      <c r="DH219" s="25"/>
      <c r="DI219" s="25"/>
      <c r="DJ219" s="25"/>
      <c r="DK219" s="25"/>
      <c r="DL219" s="25"/>
      <c r="DM219" s="25"/>
      <c r="DN219" s="25"/>
      <c r="DO219" s="25"/>
      <c r="DP219" s="25"/>
      <c r="DQ219" s="25"/>
      <c r="DR219" s="25"/>
      <c r="DS219" s="25"/>
      <c r="DT219" s="25"/>
      <c r="DU219" s="25"/>
      <c r="DV219" s="25"/>
      <c r="DW219" s="25"/>
      <c r="DX219" s="25"/>
      <c r="DY219" s="25"/>
      <c r="DZ219" s="25"/>
      <c r="EA219" s="25"/>
      <c r="EB219" s="25"/>
      <c r="EC219" s="25"/>
      <c r="ED219" s="25"/>
      <c r="EE219" s="25"/>
      <c r="EF219" s="25"/>
      <c r="EG219" s="25"/>
      <c r="EH219" s="25"/>
      <c r="EI219" s="25"/>
      <c r="EJ219" s="25"/>
      <c r="EK219" s="25"/>
      <c r="EL219" s="25"/>
      <c r="EM219" s="25"/>
      <c r="EN219" s="25"/>
      <c r="EO219" s="25"/>
      <c r="EP219" s="25"/>
      <c r="EQ219" s="25"/>
      <c r="ER219" s="25"/>
      <c r="ES219" s="25"/>
      <c r="ET219" s="25"/>
    </row>
    <row r="220" spans="9:150" x14ac:dyDescent="0.25"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 s="25"/>
      <c r="AL220" s="25"/>
      <c r="AM220" s="25"/>
      <c r="AN220" s="25"/>
      <c r="AO220" s="25"/>
      <c r="AP220" s="25"/>
      <c r="AQ220" s="25"/>
      <c r="AR220" s="25"/>
      <c r="AS220" s="25"/>
      <c r="AT220" s="25"/>
      <c r="AU220" s="25"/>
      <c r="AV220" s="25"/>
      <c r="AW220" s="25"/>
      <c r="AX220" s="25"/>
      <c r="AY220" s="25"/>
      <c r="AZ220" s="25"/>
      <c r="BA220" s="25"/>
      <c r="BB220" s="25"/>
      <c r="BC220" s="25"/>
      <c r="BD220" s="25"/>
      <c r="BE220" s="25"/>
      <c r="BF220" s="25"/>
      <c r="BG220" s="25"/>
      <c r="BH220" s="25"/>
      <c r="BI220" s="25"/>
      <c r="BJ220" s="25"/>
      <c r="BK220" s="25"/>
      <c r="BL220" s="25"/>
      <c r="BM220" s="25"/>
      <c r="BN220" s="25"/>
      <c r="BO220" s="25"/>
      <c r="BP220" s="25"/>
      <c r="BQ220" s="25"/>
      <c r="BR220" s="25"/>
      <c r="BS220" s="25"/>
      <c r="BT220" s="25"/>
      <c r="BU220" s="25"/>
      <c r="BV220" s="25"/>
      <c r="BW220" s="25"/>
      <c r="BX220" s="25"/>
      <c r="BY220" s="25"/>
      <c r="BZ220" s="25"/>
      <c r="CA220" s="25"/>
      <c r="CB220" s="25"/>
      <c r="CC220" s="25"/>
      <c r="CD220" s="25"/>
      <c r="CE220" s="25"/>
      <c r="CF220" s="25"/>
      <c r="CG220" s="25"/>
      <c r="CH220" s="25"/>
      <c r="CI220" s="25"/>
      <c r="CJ220" s="25"/>
      <c r="CK220" s="25"/>
      <c r="CL220" s="25"/>
      <c r="CM220" s="25"/>
      <c r="CN220" s="25"/>
      <c r="CO220" s="25"/>
      <c r="CP220" s="25"/>
      <c r="CQ220" s="25"/>
      <c r="CR220" s="25"/>
      <c r="CS220" s="25"/>
      <c r="CT220" s="25"/>
      <c r="CU220" s="25"/>
      <c r="CV220" s="25"/>
      <c r="CW220" s="25"/>
      <c r="CX220" s="25"/>
      <c r="CY220" s="25"/>
      <c r="CZ220" s="25"/>
      <c r="DA220" s="25"/>
      <c r="DB220" s="25"/>
      <c r="DC220" s="25"/>
      <c r="DD220" s="25"/>
      <c r="DE220" s="25"/>
      <c r="DF220" s="25"/>
      <c r="DG220" s="25"/>
      <c r="DH220" s="25"/>
      <c r="DI220" s="25"/>
      <c r="DJ220" s="25"/>
      <c r="DK220" s="25"/>
      <c r="DL220" s="25"/>
      <c r="DM220" s="25"/>
      <c r="DN220" s="25"/>
      <c r="DO220" s="25"/>
      <c r="DP220" s="25"/>
      <c r="DQ220" s="25"/>
      <c r="DR220" s="25"/>
      <c r="DS220" s="25"/>
      <c r="DT220" s="25"/>
      <c r="DU220" s="25"/>
      <c r="DV220" s="25"/>
      <c r="DW220" s="25"/>
      <c r="DX220" s="25"/>
      <c r="DY220" s="25"/>
      <c r="DZ220" s="25"/>
      <c r="EA220" s="25"/>
      <c r="EB220" s="25"/>
      <c r="EC220" s="25"/>
      <c r="ED220" s="25"/>
      <c r="EE220" s="25"/>
      <c r="EF220" s="25"/>
      <c r="EG220" s="25"/>
      <c r="EH220" s="25"/>
      <c r="EI220" s="25"/>
      <c r="EJ220" s="25"/>
      <c r="EK220" s="25"/>
      <c r="EL220" s="25"/>
      <c r="EM220" s="25"/>
      <c r="EN220" s="25"/>
      <c r="EO220" s="25"/>
      <c r="EP220" s="25"/>
      <c r="EQ220" s="25"/>
      <c r="ER220" s="25"/>
      <c r="ES220" s="25"/>
      <c r="ET220" s="25"/>
    </row>
    <row r="221" spans="9:150" x14ac:dyDescent="0.25"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 s="25"/>
      <c r="AL221" s="25"/>
      <c r="AM221" s="25"/>
      <c r="AN221" s="25"/>
      <c r="AO221" s="25"/>
      <c r="AP221" s="25"/>
      <c r="AQ221" s="25"/>
      <c r="AR221" s="25"/>
      <c r="AS221" s="25"/>
      <c r="AT221" s="25"/>
      <c r="AU221" s="25"/>
      <c r="AV221" s="25"/>
      <c r="AW221" s="25"/>
      <c r="AX221" s="25"/>
      <c r="AY221" s="25"/>
      <c r="AZ221" s="25"/>
      <c r="BA221" s="25"/>
      <c r="BB221" s="25"/>
      <c r="BC221" s="25"/>
      <c r="BD221" s="25"/>
      <c r="BE221" s="25"/>
      <c r="BF221" s="25"/>
      <c r="BG221" s="25"/>
      <c r="BH221" s="25"/>
      <c r="BI221" s="25"/>
      <c r="BJ221" s="25"/>
      <c r="BK221" s="25"/>
      <c r="BL221" s="25"/>
      <c r="BM221" s="25"/>
      <c r="BN221" s="25"/>
      <c r="BO221" s="25"/>
      <c r="BP221" s="25"/>
      <c r="BQ221" s="25"/>
      <c r="BR221" s="25"/>
      <c r="BS221" s="25"/>
      <c r="BT221" s="25"/>
      <c r="BU221" s="25"/>
      <c r="BV221" s="25"/>
      <c r="BW221" s="25"/>
      <c r="BX221" s="25"/>
      <c r="BY221" s="25"/>
      <c r="BZ221" s="25"/>
      <c r="CA221" s="25"/>
      <c r="CB221" s="25"/>
      <c r="CC221" s="25"/>
      <c r="CD221" s="25"/>
      <c r="CE221" s="25"/>
      <c r="CF221" s="25"/>
      <c r="CG221" s="25"/>
      <c r="CH221" s="25"/>
      <c r="CI221" s="25"/>
      <c r="CJ221" s="25"/>
      <c r="CK221" s="25"/>
      <c r="CL221" s="25"/>
      <c r="CM221" s="25"/>
      <c r="CN221" s="25"/>
      <c r="CO221" s="25"/>
      <c r="CP221" s="25"/>
      <c r="CQ221" s="25"/>
      <c r="CR221" s="25"/>
      <c r="CS221" s="25"/>
      <c r="CT221" s="25"/>
      <c r="CU221" s="25"/>
      <c r="CV221" s="25"/>
      <c r="CW221" s="25"/>
      <c r="CX221" s="25"/>
      <c r="CY221" s="25"/>
      <c r="CZ221" s="25"/>
      <c r="DA221" s="25"/>
      <c r="DB221" s="25"/>
      <c r="DC221" s="25"/>
      <c r="DD221" s="25"/>
      <c r="DE221" s="25"/>
      <c r="DF221" s="25"/>
      <c r="DG221" s="25"/>
      <c r="DH221" s="25"/>
      <c r="DI221" s="25"/>
      <c r="DJ221" s="25"/>
      <c r="DK221" s="25"/>
      <c r="DL221" s="25"/>
      <c r="DM221" s="25"/>
      <c r="DN221" s="25"/>
      <c r="DO221" s="25"/>
      <c r="DP221" s="25"/>
      <c r="DQ221" s="25"/>
      <c r="DR221" s="25"/>
      <c r="DS221" s="25"/>
      <c r="DT221" s="25"/>
      <c r="DU221" s="25"/>
      <c r="DV221" s="25"/>
      <c r="DW221" s="25"/>
      <c r="DX221" s="25"/>
      <c r="DY221" s="25"/>
      <c r="DZ221" s="25"/>
      <c r="EA221" s="25"/>
      <c r="EB221" s="25"/>
      <c r="EC221" s="25"/>
      <c r="ED221" s="25"/>
      <c r="EE221" s="25"/>
      <c r="EF221" s="25"/>
      <c r="EG221" s="25"/>
      <c r="EH221" s="25"/>
      <c r="EI221" s="25"/>
      <c r="EJ221" s="25"/>
      <c r="EK221" s="25"/>
      <c r="EL221" s="25"/>
      <c r="EM221" s="25"/>
      <c r="EN221" s="25"/>
      <c r="EO221" s="25"/>
      <c r="EP221" s="25"/>
      <c r="EQ221" s="25"/>
      <c r="ER221" s="25"/>
      <c r="ES221" s="25"/>
      <c r="ET221" s="25"/>
    </row>
    <row r="222" spans="9:150" x14ac:dyDescent="0.25"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 s="25"/>
      <c r="AL222" s="25"/>
      <c r="AM222" s="25"/>
      <c r="AN222" s="25"/>
      <c r="AO222" s="25"/>
      <c r="AP222" s="25"/>
      <c r="AQ222" s="25"/>
      <c r="AR222" s="25"/>
      <c r="AS222" s="25"/>
      <c r="AT222" s="25"/>
      <c r="AU222" s="25"/>
      <c r="AV222" s="25"/>
      <c r="AW222" s="25"/>
      <c r="AX222" s="25"/>
      <c r="AY222" s="25"/>
      <c r="AZ222" s="25"/>
      <c r="BA222" s="25"/>
      <c r="BB222" s="25"/>
      <c r="BC222" s="25"/>
      <c r="BD222" s="25"/>
      <c r="BE222" s="25"/>
      <c r="BF222" s="25"/>
      <c r="BG222" s="25"/>
      <c r="BH222" s="25"/>
      <c r="BI222" s="25"/>
      <c r="BJ222" s="25"/>
      <c r="BK222" s="25"/>
      <c r="BL222" s="25"/>
      <c r="BM222" s="25"/>
      <c r="BN222" s="25"/>
      <c r="BO222" s="25"/>
      <c r="BP222" s="25"/>
      <c r="BQ222" s="25"/>
      <c r="BR222" s="25"/>
      <c r="BS222" s="25"/>
      <c r="BT222" s="25"/>
      <c r="BU222" s="25"/>
      <c r="BV222" s="25"/>
      <c r="BW222" s="25"/>
      <c r="BX222" s="25"/>
      <c r="BY222" s="25"/>
      <c r="BZ222" s="25"/>
      <c r="CA222" s="25"/>
      <c r="CB222" s="25"/>
      <c r="CC222" s="25"/>
      <c r="CD222" s="25"/>
      <c r="CE222" s="25"/>
      <c r="CF222" s="25"/>
      <c r="CG222" s="25"/>
      <c r="CH222" s="25"/>
      <c r="CI222" s="25"/>
      <c r="CJ222" s="25"/>
      <c r="CK222" s="25"/>
      <c r="CL222" s="25"/>
      <c r="CM222" s="25"/>
      <c r="CN222" s="25"/>
      <c r="CO222" s="25"/>
      <c r="CP222" s="25"/>
      <c r="CQ222" s="25"/>
      <c r="CR222" s="25"/>
      <c r="CS222" s="25"/>
      <c r="CT222" s="25"/>
      <c r="CU222" s="25"/>
      <c r="CV222" s="25"/>
      <c r="CW222" s="25"/>
      <c r="CX222" s="25"/>
      <c r="CY222" s="25"/>
      <c r="CZ222" s="25"/>
      <c r="DA222" s="25"/>
      <c r="DB222" s="25"/>
      <c r="DC222" s="25"/>
      <c r="DD222" s="25"/>
      <c r="DE222" s="25"/>
      <c r="DF222" s="25"/>
      <c r="DG222" s="25"/>
      <c r="DH222" s="25"/>
      <c r="DI222" s="25"/>
      <c r="DJ222" s="25"/>
      <c r="DK222" s="25"/>
      <c r="DL222" s="25"/>
      <c r="DM222" s="25"/>
      <c r="DN222" s="25"/>
      <c r="DO222" s="25"/>
      <c r="DP222" s="25"/>
      <c r="DQ222" s="25"/>
      <c r="DR222" s="25"/>
      <c r="DS222" s="25"/>
      <c r="DT222" s="25"/>
      <c r="DU222" s="25"/>
      <c r="DV222" s="25"/>
      <c r="DW222" s="25"/>
      <c r="DX222" s="25"/>
      <c r="DY222" s="25"/>
      <c r="DZ222" s="25"/>
      <c r="EA222" s="25"/>
      <c r="EB222" s="25"/>
      <c r="EC222" s="25"/>
      <c r="ED222" s="25"/>
      <c r="EE222" s="25"/>
      <c r="EF222" s="25"/>
      <c r="EG222" s="25"/>
      <c r="EH222" s="25"/>
      <c r="EI222" s="25"/>
      <c r="EJ222" s="25"/>
      <c r="EK222" s="25"/>
      <c r="EL222" s="25"/>
      <c r="EM222" s="25"/>
      <c r="EN222" s="25"/>
      <c r="EO222" s="25"/>
      <c r="EP222" s="25"/>
      <c r="EQ222" s="25"/>
      <c r="ER222" s="25"/>
      <c r="ES222" s="25"/>
      <c r="ET222" s="25"/>
    </row>
    <row r="223" spans="9:150" x14ac:dyDescent="0.25"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 s="25"/>
      <c r="AL223" s="25"/>
      <c r="AM223" s="25"/>
      <c r="AN223" s="25"/>
      <c r="AO223" s="25"/>
      <c r="AP223" s="25"/>
      <c r="AQ223" s="25"/>
      <c r="AR223" s="25"/>
      <c r="AS223" s="25"/>
      <c r="AT223" s="25"/>
      <c r="AU223" s="25"/>
      <c r="AV223" s="25"/>
      <c r="AW223" s="25"/>
      <c r="AX223" s="25"/>
      <c r="AY223" s="25"/>
      <c r="AZ223" s="25"/>
      <c r="BA223" s="25"/>
      <c r="BB223" s="25"/>
      <c r="BC223" s="25"/>
      <c r="BD223" s="25"/>
      <c r="BE223" s="25"/>
      <c r="BF223" s="25"/>
      <c r="BG223" s="25"/>
      <c r="BH223" s="25"/>
      <c r="BI223" s="25"/>
      <c r="BJ223" s="25"/>
      <c r="BK223" s="25"/>
      <c r="BL223" s="25"/>
      <c r="BM223" s="25"/>
      <c r="BN223" s="25"/>
      <c r="BO223" s="25"/>
      <c r="BP223" s="25"/>
      <c r="BQ223" s="25"/>
      <c r="BR223" s="25"/>
      <c r="BS223" s="25"/>
      <c r="BT223" s="25"/>
      <c r="BU223" s="25"/>
      <c r="BV223" s="25"/>
      <c r="BW223" s="25"/>
      <c r="BX223" s="25"/>
      <c r="BY223" s="25"/>
      <c r="BZ223" s="25"/>
      <c r="CA223" s="25"/>
      <c r="CB223" s="25"/>
      <c r="CC223" s="25"/>
      <c r="CD223" s="25"/>
      <c r="CE223" s="25"/>
      <c r="CF223" s="25"/>
      <c r="CG223" s="25"/>
      <c r="CH223" s="25"/>
      <c r="CI223" s="25"/>
      <c r="CJ223" s="25"/>
      <c r="CK223" s="25"/>
      <c r="CL223" s="25"/>
      <c r="CM223" s="25"/>
      <c r="CN223" s="25"/>
      <c r="CO223" s="25"/>
      <c r="CP223" s="25"/>
      <c r="CQ223" s="25"/>
      <c r="CR223" s="25"/>
      <c r="CS223" s="25"/>
      <c r="CT223" s="25"/>
      <c r="CU223" s="25"/>
      <c r="CV223" s="25"/>
      <c r="CW223" s="25"/>
      <c r="CX223" s="25"/>
      <c r="CY223" s="25"/>
      <c r="CZ223" s="25"/>
      <c r="DA223" s="25"/>
      <c r="DB223" s="25"/>
      <c r="DC223" s="25"/>
      <c r="DD223" s="25"/>
      <c r="DE223" s="25"/>
      <c r="DF223" s="25"/>
      <c r="DG223" s="25"/>
      <c r="DH223" s="25"/>
      <c r="DI223" s="25"/>
      <c r="DJ223" s="25"/>
      <c r="DK223" s="25"/>
      <c r="DL223" s="25"/>
      <c r="DM223" s="25"/>
      <c r="DN223" s="25"/>
      <c r="DO223" s="25"/>
      <c r="DP223" s="25"/>
      <c r="DQ223" s="25"/>
      <c r="DR223" s="25"/>
      <c r="DS223" s="25"/>
      <c r="DT223" s="25"/>
      <c r="DU223" s="25"/>
      <c r="DV223" s="25"/>
      <c r="DW223" s="25"/>
      <c r="DX223" s="25"/>
      <c r="DY223" s="25"/>
      <c r="DZ223" s="25"/>
      <c r="EA223" s="25"/>
      <c r="EB223" s="25"/>
      <c r="EC223" s="25"/>
      <c r="ED223" s="25"/>
      <c r="EE223" s="25"/>
      <c r="EF223" s="25"/>
      <c r="EG223" s="25"/>
      <c r="EH223" s="25"/>
      <c r="EI223" s="25"/>
      <c r="EJ223" s="25"/>
      <c r="EK223" s="25"/>
      <c r="EL223" s="25"/>
      <c r="EM223" s="25"/>
      <c r="EN223" s="25"/>
      <c r="EO223" s="25"/>
      <c r="EP223" s="25"/>
      <c r="EQ223" s="25"/>
      <c r="ER223" s="25"/>
      <c r="ES223" s="25"/>
      <c r="ET223" s="25"/>
    </row>
    <row r="224" spans="9:150" x14ac:dyDescent="0.25"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25"/>
      <c r="AK224" s="25"/>
      <c r="AL224" s="25"/>
      <c r="AM224" s="25"/>
      <c r="AN224" s="25"/>
      <c r="AO224" s="25"/>
      <c r="AP224" s="25"/>
      <c r="AQ224" s="25"/>
      <c r="AR224" s="25"/>
      <c r="AS224" s="25"/>
      <c r="AT224" s="25"/>
      <c r="AU224" s="25"/>
      <c r="AV224" s="25"/>
      <c r="AW224" s="25"/>
      <c r="AX224" s="25"/>
      <c r="AY224" s="25"/>
      <c r="AZ224" s="25"/>
      <c r="BA224" s="25"/>
      <c r="BB224" s="25"/>
      <c r="BC224" s="25"/>
      <c r="BD224" s="25"/>
      <c r="BE224" s="25"/>
      <c r="BF224" s="25"/>
      <c r="BG224" s="25"/>
      <c r="BH224" s="25"/>
      <c r="BI224" s="25"/>
      <c r="BJ224" s="25"/>
      <c r="BK224" s="25"/>
      <c r="BL224" s="25"/>
      <c r="BM224" s="25"/>
      <c r="BN224" s="25"/>
      <c r="BO224" s="25"/>
      <c r="BP224" s="25"/>
      <c r="BQ224" s="25"/>
      <c r="BR224" s="25"/>
      <c r="BS224" s="25"/>
      <c r="BT224" s="25"/>
      <c r="BU224" s="25"/>
      <c r="BV224" s="25"/>
      <c r="BW224" s="25"/>
      <c r="BX224" s="25"/>
      <c r="BY224" s="25"/>
      <c r="BZ224" s="25"/>
      <c r="CA224" s="25"/>
      <c r="CB224" s="25"/>
      <c r="CC224" s="25"/>
      <c r="CD224" s="25"/>
      <c r="CE224" s="25"/>
      <c r="CF224" s="25"/>
      <c r="CG224" s="25"/>
      <c r="CH224" s="25"/>
      <c r="CI224" s="25"/>
      <c r="CJ224" s="25"/>
      <c r="CK224" s="25"/>
      <c r="CL224" s="25"/>
      <c r="CM224" s="25"/>
      <c r="CN224" s="25"/>
      <c r="CO224" s="25"/>
      <c r="CP224" s="25"/>
      <c r="CQ224" s="25"/>
      <c r="CR224" s="25"/>
      <c r="CS224" s="25"/>
      <c r="CT224" s="25"/>
      <c r="CU224" s="25"/>
      <c r="CV224" s="25"/>
      <c r="CW224" s="25"/>
      <c r="CX224" s="25"/>
      <c r="CY224" s="25"/>
      <c r="CZ224" s="25"/>
      <c r="DA224" s="25"/>
      <c r="DB224" s="25"/>
      <c r="DC224" s="25"/>
      <c r="DD224" s="25"/>
      <c r="DE224" s="25"/>
      <c r="DF224" s="25"/>
      <c r="DG224" s="25"/>
      <c r="DH224" s="25"/>
      <c r="DI224" s="25"/>
      <c r="DJ224" s="25"/>
      <c r="DK224" s="25"/>
      <c r="DL224" s="25"/>
      <c r="DM224" s="25"/>
      <c r="DN224" s="25"/>
      <c r="DO224" s="25"/>
      <c r="DP224" s="25"/>
      <c r="DQ224" s="25"/>
      <c r="DR224" s="25"/>
      <c r="DS224" s="25"/>
      <c r="DT224" s="25"/>
      <c r="DU224" s="25"/>
      <c r="DV224" s="25"/>
      <c r="DW224" s="25"/>
      <c r="DX224" s="25"/>
      <c r="DY224" s="25"/>
      <c r="DZ224" s="25"/>
      <c r="EA224" s="25"/>
      <c r="EB224" s="25"/>
      <c r="EC224" s="25"/>
      <c r="ED224" s="25"/>
      <c r="EE224" s="25"/>
      <c r="EF224" s="25"/>
      <c r="EG224" s="25"/>
      <c r="EH224" s="25"/>
      <c r="EI224" s="25"/>
      <c r="EJ224" s="25"/>
      <c r="EK224" s="25"/>
      <c r="EL224" s="25"/>
      <c r="EM224" s="25"/>
      <c r="EN224" s="25"/>
      <c r="EO224" s="25"/>
      <c r="EP224" s="25"/>
      <c r="EQ224" s="25"/>
      <c r="ER224" s="25"/>
      <c r="ES224" s="25"/>
      <c r="ET224" s="25"/>
    </row>
    <row r="225" spans="9:150" x14ac:dyDescent="0.25"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5"/>
      <c r="AJ225" s="25"/>
      <c r="AK225" s="25"/>
      <c r="AL225" s="25"/>
      <c r="AM225" s="25"/>
      <c r="AN225" s="25"/>
      <c r="AO225" s="25"/>
      <c r="AP225" s="25"/>
      <c r="AQ225" s="25"/>
      <c r="AR225" s="25"/>
      <c r="AS225" s="25"/>
      <c r="AT225" s="25"/>
      <c r="AU225" s="25"/>
      <c r="AV225" s="25"/>
      <c r="AW225" s="25"/>
      <c r="AX225" s="25"/>
      <c r="AY225" s="25"/>
      <c r="AZ225" s="25"/>
      <c r="BA225" s="25"/>
      <c r="BB225" s="25"/>
      <c r="BC225" s="25"/>
      <c r="BD225" s="25"/>
      <c r="BE225" s="25"/>
      <c r="BF225" s="25"/>
      <c r="BG225" s="25"/>
      <c r="BH225" s="25"/>
      <c r="BI225" s="25"/>
      <c r="BJ225" s="25"/>
      <c r="BK225" s="25"/>
      <c r="BL225" s="25"/>
      <c r="BM225" s="25"/>
      <c r="BN225" s="25"/>
      <c r="BO225" s="25"/>
      <c r="BP225" s="25"/>
      <c r="BQ225" s="25"/>
      <c r="BR225" s="25"/>
      <c r="BS225" s="25"/>
      <c r="BT225" s="25"/>
      <c r="BU225" s="25"/>
      <c r="BV225" s="25"/>
      <c r="BW225" s="25"/>
      <c r="BX225" s="25"/>
      <c r="BY225" s="25"/>
      <c r="BZ225" s="25"/>
      <c r="CA225" s="25"/>
      <c r="CB225" s="25"/>
      <c r="CC225" s="25"/>
      <c r="CD225" s="25"/>
      <c r="CE225" s="25"/>
      <c r="CF225" s="25"/>
      <c r="CG225" s="25"/>
      <c r="CH225" s="25"/>
      <c r="CI225" s="25"/>
      <c r="CJ225" s="25"/>
      <c r="CK225" s="25"/>
      <c r="CL225" s="25"/>
      <c r="CM225" s="25"/>
      <c r="CN225" s="25"/>
      <c r="CO225" s="25"/>
      <c r="CP225" s="25"/>
      <c r="CQ225" s="25"/>
      <c r="CR225" s="25"/>
      <c r="CS225" s="25"/>
      <c r="CT225" s="25"/>
      <c r="CU225" s="25"/>
      <c r="CV225" s="25"/>
      <c r="CW225" s="25"/>
      <c r="CX225" s="25"/>
      <c r="CY225" s="25"/>
      <c r="CZ225" s="25"/>
      <c r="DA225" s="25"/>
      <c r="DB225" s="25"/>
      <c r="DC225" s="25"/>
      <c r="DD225" s="25"/>
      <c r="DE225" s="25"/>
      <c r="DF225" s="25"/>
      <c r="DG225" s="25"/>
      <c r="DH225" s="25"/>
      <c r="DI225" s="25"/>
      <c r="DJ225" s="25"/>
      <c r="DK225" s="25"/>
      <c r="DL225" s="25"/>
      <c r="DM225" s="25"/>
      <c r="DN225" s="25"/>
      <c r="DO225" s="25"/>
      <c r="DP225" s="25"/>
      <c r="DQ225" s="25"/>
      <c r="DR225" s="25"/>
      <c r="DS225" s="25"/>
      <c r="DT225" s="25"/>
      <c r="DU225" s="25"/>
      <c r="DV225" s="25"/>
      <c r="DW225" s="25"/>
      <c r="DX225" s="25"/>
      <c r="DY225" s="25"/>
      <c r="DZ225" s="25"/>
      <c r="EA225" s="25"/>
      <c r="EB225" s="25"/>
      <c r="EC225" s="25"/>
      <c r="ED225" s="25"/>
      <c r="EE225" s="25"/>
      <c r="EF225" s="25"/>
      <c r="EG225" s="25"/>
      <c r="EH225" s="25"/>
      <c r="EI225" s="25"/>
      <c r="EJ225" s="25"/>
      <c r="EK225" s="25"/>
      <c r="EL225" s="25"/>
      <c r="EM225" s="25"/>
      <c r="EN225" s="25"/>
      <c r="EO225" s="25"/>
      <c r="EP225" s="25"/>
      <c r="EQ225" s="25"/>
      <c r="ER225" s="25"/>
      <c r="ES225" s="25"/>
      <c r="ET225" s="25"/>
    </row>
    <row r="226" spans="9:150" x14ac:dyDescent="0.25"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  <c r="AH226" s="25"/>
      <c r="AI226" s="25"/>
      <c r="AJ226" s="25"/>
      <c r="AK226" s="25"/>
      <c r="AL226" s="25"/>
      <c r="AM226" s="25"/>
      <c r="AN226" s="25"/>
      <c r="AO226" s="25"/>
      <c r="AP226" s="25"/>
      <c r="AQ226" s="25"/>
      <c r="AR226" s="25"/>
      <c r="AS226" s="25"/>
      <c r="AT226" s="25"/>
      <c r="AU226" s="25"/>
      <c r="AV226" s="25"/>
      <c r="AW226" s="25"/>
      <c r="AX226" s="25"/>
      <c r="AY226" s="25"/>
      <c r="AZ226" s="25"/>
      <c r="BA226" s="25"/>
      <c r="BB226" s="25"/>
      <c r="BC226" s="25"/>
      <c r="BD226" s="25"/>
      <c r="BE226" s="25"/>
      <c r="BF226" s="25"/>
      <c r="BG226" s="25"/>
      <c r="BH226" s="25"/>
      <c r="BI226" s="25"/>
      <c r="BJ226" s="25"/>
      <c r="BK226" s="25"/>
      <c r="BL226" s="25"/>
      <c r="BM226" s="25"/>
      <c r="BN226" s="25"/>
      <c r="BO226" s="25"/>
      <c r="BP226" s="25"/>
      <c r="BQ226" s="25"/>
      <c r="BR226" s="25"/>
      <c r="BS226" s="25"/>
      <c r="BT226" s="25"/>
      <c r="BU226" s="25"/>
      <c r="BV226" s="25"/>
      <c r="BW226" s="25"/>
      <c r="BX226" s="25"/>
      <c r="BY226" s="25"/>
      <c r="BZ226" s="25"/>
      <c r="CA226" s="25"/>
      <c r="CB226" s="25"/>
      <c r="CC226" s="25"/>
      <c r="CD226" s="25"/>
      <c r="CE226" s="25"/>
      <c r="CF226" s="25"/>
      <c r="CG226" s="25"/>
      <c r="CH226" s="25"/>
      <c r="CI226" s="25"/>
      <c r="CJ226" s="25"/>
      <c r="CK226" s="25"/>
      <c r="CL226" s="25"/>
      <c r="CM226" s="25"/>
      <c r="CN226" s="25"/>
      <c r="CO226" s="25"/>
      <c r="CP226" s="25"/>
      <c r="CQ226" s="25"/>
      <c r="CR226" s="25"/>
      <c r="CS226" s="25"/>
      <c r="CT226" s="25"/>
      <c r="CU226" s="25"/>
      <c r="CV226" s="25"/>
      <c r="CW226" s="25"/>
      <c r="CX226" s="25"/>
      <c r="CY226" s="25"/>
      <c r="CZ226" s="25"/>
      <c r="DA226" s="25"/>
      <c r="DB226" s="25"/>
      <c r="DC226" s="25"/>
      <c r="DD226" s="25"/>
      <c r="DE226" s="25"/>
      <c r="DF226" s="25"/>
      <c r="DG226" s="25"/>
      <c r="DH226" s="25"/>
      <c r="DI226" s="25"/>
      <c r="DJ226" s="25"/>
      <c r="DK226" s="25"/>
      <c r="DL226" s="25"/>
      <c r="DM226" s="25"/>
      <c r="DN226" s="25"/>
      <c r="DO226" s="25"/>
      <c r="DP226" s="25"/>
      <c r="DQ226" s="25"/>
      <c r="DR226" s="25"/>
      <c r="DS226" s="25"/>
      <c r="DT226" s="25"/>
      <c r="DU226" s="25"/>
      <c r="DV226" s="25"/>
      <c r="DW226" s="25"/>
      <c r="DX226" s="25"/>
      <c r="DY226" s="25"/>
      <c r="DZ226" s="25"/>
      <c r="EA226" s="25"/>
      <c r="EB226" s="25"/>
      <c r="EC226" s="25"/>
      <c r="ED226" s="25"/>
      <c r="EE226" s="25"/>
      <c r="EF226" s="25"/>
      <c r="EG226" s="25"/>
      <c r="EH226" s="25"/>
      <c r="EI226" s="25"/>
      <c r="EJ226" s="25"/>
      <c r="EK226" s="25"/>
      <c r="EL226" s="25"/>
      <c r="EM226" s="25"/>
      <c r="EN226" s="25"/>
      <c r="EO226" s="25"/>
      <c r="EP226" s="25"/>
      <c r="EQ226" s="25"/>
      <c r="ER226" s="25"/>
      <c r="ES226" s="25"/>
      <c r="ET226" s="25"/>
    </row>
    <row r="227" spans="9:150" x14ac:dyDescent="0.25"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  <c r="AC227" s="25"/>
      <c r="AD227" s="25"/>
      <c r="AE227" s="25"/>
      <c r="AF227" s="25"/>
      <c r="AG227" s="25"/>
      <c r="AH227" s="25"/>
      <c r="AI227" s="25"/>
      <c r="AJ227" s="25"/>
      <c r="AK227" s="25"/>
      <c r="AL227" s="25"/>
      <c r="AM227" s="25"/>
      <c r="AN227" s="25"/>
      <c r="AO227" s="25"/>
      <c r="AP227" s="25"/>
      <c r="AQ227" s="25"/>
      <c r="AR227" s="25"/>
      <c r="AS227" s="25"/>
      <c r="AT227" s="25"/>
      <c r="AU227" s="25"/>
      <c r="AV227" s="25"/>
      <c r="AW227" s="25"/>
      <c r="AX227" s="25"/>
      <c r="AY227" s="25"/>
      <c r="AZ227" s="25"/>
      <c r="BA227" s="25"/>
      <c r="BB227" s="25"/>
      <c r="BC227" s="25"/>
      <c r="BD227" s="25"/>
      <c r="BE227" s="25"/>
      <c r="BF227" s="25"/>
      <c r="BG227" s="25"/>
      <c r="BH227" s="25"/>
      <c r="BI227" s="25"/>
      <c r="BJ227" s="25"/>
      <c r="BK227" s="25"/>
      <c r="BL227" s="25"/>
      <c r="BM227" s="25"/>
      <c r="BN227" s="25"/>
      <c r="BO227" s="25"/>
      <c r="BP227" s="25"/>
      <c r="BQ227" s="25"/>
      <c r="BR227" s="25"/>
      <c r="BS227" s="25"/>
      <c r="BT227" s="25"/>
      <c r="BU227" s="25"/>
      <c r="BV227" s="25"/>
      <c r="BW227" s="25"/>
      <c r="BX227" s="25"/>
      <c r="BY227" s="25"/>
      <c r="BZ227" s="25"/>
      <c r="CA227" s="25"/>
      <c r="CB227" s="25"/>
      <c r="CC227" s="25"/>
      <c r="CD227" s="25"/>
      <c r="CE227" s="25"/>
      <c r="CF227" s="25"/>
      <c r="CG227" s="25"/>
      <c r="CH227" s="25"/>
      <c r="CI227" s="25"/>
      <c r="CJ227" s="25"/>
      <c r="CK227" s="25"/>
      <c r="CL227" s="25"/>
      <c r="CM227" s="25"/>
      <c r="CN227" s="25"/>
      <c r="CO227" s="25"/>
      <c r="CP227" s="25"/>
      <c r="CQ227" s="25"/>
      <c r="CR227" s="25"/>
      <c r="CS227" s="25"/>
      <c r="CT227" s="25"/>
      <c r="CU227" s="25"/>
      <c r="CV227" s="25"/>
      <c r="CW227" s="25"/>
      <c r="CX227" s="25"/>
      <c r="CY227" s="25"/>
      <c r="CZ227" s="25"/>
      <c r="DA227" s="25"/>
      <c r="DB227" s="25"/>
      <c r="DC227" s="25"/>
      <c r="DD227" s="25"/>
      <c r="DE227" s="25"/>
      <c r="DF227" s="25"/>
      <c r="DG227" s="25"/>
      <c r="DH227" s="25"/>
      <c r="DI227" s="25"/>
      <c r="DJ227" s="25"/>
      <c r="DK227" s="25"/>
      <c r="DL227" s="25"/>
      <c r="DM227" s="25"/>
      <c r="DN227" s="25"/>
      <c r="DO227" s="25"/>
      <c r="DP227" s="25"/>
      <c r="DQ227" s="25"/>
      <c r="DR227" s="25"/>
      <c r="DS227" s="25"/>
      <c r="DT227" s="25"/>
      <c r="DU227" s="25"/>
      <c r="DV227" s="25"/>
      <c r="DW227" s="25"/>
      <c r="DX227" s="25"/>
      <c r="DY227" s="25"/>
      <c r="DZ227" s="25"/>
      <c r="EA227" s="25"/>
      <c r="EB227" s="25"/>
      <c r="EC227" s="25"/>
      <c r="ED227" s="25"/>
      <c r="EE227" s="25"/>
      <c r="EF227" s="25"/>
      <c r="EG227" s="25"/>
      <c r="EH227" s="25"/>
      <c r="EI227" s="25"/>
      <c r="EJ227" s="25"/>
      <c r="EK227" s="25"/>
      <c r="EL227" s="25"/>
      <c r="EM227" s="25"/>
      <c r="EN227" s="25"/>
      <c r="EO227" s="25"/>
      <c r="EP227" s="25"/>
      <c r="EQ227" s="25"/>
      <c r="ER227" s="25"/>
      <c r="ES227" s="25"/>
      <c r="ET227" s="25"/>
    </row>
    <row r="228" spans="9:150" x14ac:dyDescent="0.25"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  <c r="AC228" s="25"/>
      <c r="AD228" s="25"/>
      <c r="AE228" s="25"/>
      <c r="AF228" s="25"/>
      <c r="AG228" s="25"/>
      <c r="AH228" s="25"/>
      <c r="AI228" s="25"/>
      <c r="AJ228" s="25"/>
      <c r="AK228" s="25"/>
      <c r="AL228" s="25"/>
      <c r="AM228" s="25"/>
      <c r="AN228" s="25"/>
      <c r="AO228" s="25"/>
      <c r="AP228" s="25"/>
      <c r="AQ228" s="25"/>
      <c r="AR228" s="25"/>
      <c r="AS228" s="25"/>
      <c r="AT228" s="25"/>
      <c r="AU228" s="25"/>
      <c r="AV228" s="25"/>
      <c r="AW228" s="25"/>
      <c r="AX228" s="25"/>
      <c r="AY228" s="25"/>
      <c r="AZ228" s="25"/>
      <c r="BA228" s="25"/>
      <c r="BB228" s="25"/>
      <c r="BC228" s="25"/>
      <c r="BD228" s="25"/>
      <c r="BE228" s="25"/>
      <c r="BF228" s="25"/>
      <c r="BG228" s="25"/>
      <c r="BH228" s="25"/>
      <c r="BI228" s="25"/>
      <c r="BJ228" s="25"/>
      <c r="BK228" s="25"/>
      <c r="BL228" s="25"/>
      <c r="BM228" s="25"/>
      <c r="BN228" s="25"/>
      <c r="BO228" s="25"/>
      <c r="BP228" s="25"/>
      <c r="BQ228" s="25"/>
      <c r="BR228" s="25"/>
      <c r="BS228" s="25"/>
      <c r="BT228" s="25"/>
      <c r="BU228" s="25"/>
      <c r="BV228" s="25"/>
      <c r="BW228" s="25"/>
      <c r="BX228" s="25"/>
      <c r="BY228" s="25"/>
      <c r="BZ228" s="25"/>
      <c r="CA228" s="25"/>
      <c r="CB228" s="25"/>
      <c r="CC228" s="25"/>
      <c r="CD228" s="25"/>
      <c r="CE228" s="25"/>
      <c r="CF228" s="25"/>
      <c r="CG228" s="25"/>
      <c r="CH228" s="25"/>
      <c r="CI228" s="25"/>
      <c r="CJ228" s="25"/>
      <c r="CK228" s="25"/>
      <c r="CL228" s="25"/>
      <c r="CM228" s="25"/>
      <c r="CN228" s="25"/>
      <c r="CO228" s="25"/>
      <c r="CP228" s="25"/>
      <c r="CQ228" s="25"/>
      <c r="CR228" s="25"/>
      <c r="CS228" s="25"/>
      <c r="CT228" s="25"/>
      <c r="CU228" s="25"/>
      <c r="CV228" s="25"/>
      <c r="CW228" s="25"/>
      <c r="CX228" s="25"/>
      <c r="CY228" s="25"/>
      <c r="CZ228" s="25"/>
      <c r="DA228" s="25"/>
      <c r="DB228" s="25"/>
      <c r="DC228" s="25"/>
      <c r="DD228" s="25"/>
      <c r="DE228" s="25"/>
      <c r="DF228" s="25"/>
      <c r="DG228" s="25"/>
      <c r="DH228" s="25"/>
      <c r="DI228" s="25"/>
      <c r="DJ228" s="25"/>
      <c r="DK228" s="25"/>
      <c r="DL228" s="25"/>
      <c r="DM228" s="25"/>
      <c r="DN228" s="25"/>
      <c r="DO228" s="25"/>
      <c r="DP228" s="25"/>
      <c r="DQ228" s="25"/>
      <c r="DR228" s="25"/>
      <c r="DS228" s="25"/>
      <c r="DT228" s="25"/>
      <c r="DU228" s="25"/>
      <c r="DV228" s="25"/>
      <c r="DW228" s="25"/>
      <c r="DX228" s="25"/>
      <c r="DY228" s="25"/>
      <c r="DZ228" s="25"/>
      <c r="EA228" s="25"/>
      <c r="EB228" s="25"/>
      <c r="EC228" s="25"/>
      <c r="ED228" s="25"/>
      <c r="EE228" s="25"/>
      <c r="EF228" s="25"/>
      <c r="EG228" s="25"/>
      <c r="EH228" s="25"/>
      <c r="EI228" s="25"/>
      <c r="EJ228" s="25"/>
      <c r="EK228" s="25"/>
      <c r="EL228" s="25"/>
      <c r="EM228" s="25"/>
      <c r="EN228" s="25"/>
      <c r="EO228" s="25"/>
      <c r="EP228" s="25"/>
      <c r="EQ228" s="25"/>
      <c r="ER228" s="25"/>
      <c r="ES228" s="25"/>
      <c r="ET228" s="25"/>
    </row>
    <row r="229" spans="9:150" x14ac:dyDescent="0.25"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  <c r="AC229" s="25"/>
      <c r="AD229" s="25"/>
      <c r="AE229" s="25"/>
      <c r="AF229" s="25"/>
      <c r="AG229" s="25"/>
      <c r="AH229" s="25"/>
      <c r="AI229" s="25"/>
      <c r="AJ229" s="25"/>
      <c r="AK229" s="25"/>
      <c r="AL229" s="25"/>
      <c r="AM229" s="25"/>
      <c r="AN229" s="25"/>
      <c r="AO229" s="25"/>
      <c r="AP229" s="25"/>
      <c r="AQ229" s="25"/>
      <c r="AR229" s="25"/>
      <c r="AS229" s="25"/>
      <c r="AT229" s="25"/>
      <c r="AU229" s="25"/>
      <c r="AV229" s="25"/>
      <c r="AW229" s="25"/>
      <c r="AX229" s="25"/>
      <c r="AY229" s="25"/>
      <c r="AZ229" s="25"/>
      <c r="BA229" s="25"/>
      <c r="BB229" s="25"/>
      <c r="BC229" s="25"/>
      <c r="BD229" s="25"/>
      <c r="BE229" s="25"/>
      <c r="BF229" s="25"/>
      <c r="BG229" s="25"/>
      <c r="BH229" s="25"/>
      <c r="BI229" s="25"/>
      <c r="BJ229" s="25"/>
      <c r="BK229" s="25"/>
      <c r="BL229" s="25"/>
      <c r="BM229" s="25"/>
      <c r="BN229" s="25"/>
      <c r="BO229" s="25"/>
      <c r="BP229" s="25"/>
      <c r="BQ229" s="25"/>
      <c r="BR229" s="25"/>
      <c r="BS229" s="25"/>
      <c r="BT229" s="25"/>
      <c r="BU229" s="25"/>
      <c r="BV229" s="25"/>
      <c r="BW229" s="25"/>
      <c r="BX229" s="25"/>
      <c r="BY229" s="25"/>
      <c r="BZ229" s="25"/>
      <c r="CA229" s="25"/>
      <c r="CB229" s="25"/>
      <c r="CC229" s="25"/>
      <c r="CD229" s="25"/>
      <c r="CE229" s="25"/>
      <c r="CF229" s="25"/>
      <c r="CG229" s="25"/>
      <c r="CH229" s="25"/>
      <c r="CI229" s="25"/>
      <c r="CJ229" s="25"/>
      <c r="CK229" s="25"/>
      <c r="CL229" s="25"/>
      <c r="CM229" s="25"/>
      <c r="CN229" s="25"/>
      <c r="CO229" s="25"/>
      <c r="CP229" s="25"/>
      <c r="CQ229" s="25"/>
      <c r="CR229" s="25"/>
      <c r="CS229" s="25"/>
      <c r="CT229" s="25"/>
      <c r="CU229" s="25"/>
      <c r="CV229" s="25"/>
      <c r="CW229" s="25"/>
      <c r="CX229" s="25"/>
      <c r="CY229" s="25"/>
      <c r="CZ229" s="25"/>
      <c r="DA229" s="25"/>
      <c r="DB229" s="25"/>
      <c r="DC229" s="25"/>
      <c r="DD229" s="25"/>
      <c r="DE229" s="25"/>
      <c r="DF229" s="25"/>
      <c r="DG229" s="25"/>
      <c r="DH229" s="25"/>
      <c r="DI229" s="25"/>
      <c r="DJ229" s="25"/>
      <c r="DK229" s="25"/>
      <c r="DL229" s="25"/>
      <c r="DM229" s="25"/>
      <c r="DN229" s="25"/>
      <c r="DO229" s="25"/>
      <c r="DP229" s="25"/>
      <c r="DQ229" s="25"/>
      <c r="DR229" s="25"/>
      <c r="DS229" s="25"/>
      <c r="DT229" s="25"/>
      <c r="DU229" s="25"/>
      <c r="DV229" s="25"/>
      <c r="DW229" s="25"/>
      <c r="DX229" s="25"/>
      <c r="DY229" s="25"/>
      <c r="DZ229" s="25"/>
      <c r="EA229" s="25"/>
      <c r="EB229" s="25"/>
      <c r="EC229" s="25"/>
      <c r="ED229" s="25"/>
      <c r="EE229" s="25"/>
      <c r="EF229" s="25"/>
      <c r="EG229" s="25"/>
      <c r="EH229" s="25"/>
      <c r="EI229" s="25"/>
      <c r="EJ229" s="25"/>
      <c r="EK229" s="25"/>
      <c r="EL229" s="25"/>
      <c r="EM229" s="25"/>
      <c r="EN229" s="25"/>
      <c r="EO229" s="25"/>
      <c r="EP229" s="25"/>
      <c r="EQ229" s="25"/>
      <c r="ER229" s="25"/>
      <c r="ES229" s="25"/>
      <c r="ET229" s="25"/>
    </row>
    <row r="230" spans="9:150" x14ac:dyDescent="0.25"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  <c r="AC230" s="25"/>
      <c r="AD230" s="25"/>
      <c r="AE230" s="25"/>
      <c r="AF230" s="25"/>
      <c r="AG230" s="25"/>
      <c r="AH230" s="25"/>
      <c r="AI230" s="25"/>
      <c r="AJ230" s="25"/>
      <c r="AK230" s="25"/>
      <c r="AL230" s="25"/>
      <c r="AM230" s="25"/>
      <c r="AN230" s="25"/>
      <c r="AO230" s="25"/>
      <c r="AP230" s="25"/>
      <c r="AQ230" s="25"/>
      <c r="AR230" s="25"/>
      <c r="AS230" s="25"/>
      <c r="AT230" s="25"/>
      <c r="AU230" s="25"/>
      <c r="AV230" s="25"/>
      <c r="AW230" s="25"/>
      <c r="AX230" s="25"/>
      <c r="AY230" s="25"/>
      <c r="AZ230" s="25"/>
      <c r="BA230" s="25"/>
      <c r="BB230" s="25"/>
      <c r="BC230" s="25"/>
      <c r="BD230" s="25"/>
      <c r="BE230" s="25"/>
      <c r="BF230" s="25"/>
      <c r="BG230" s="25"/>
      <c r="BH230" s="25"/>
      <c r="BI230" s="25"/>
      <c r="BJ230" s="25"/>
      <c r="BK230" s="25"/>
      <c r="BL230" s="25"/>
      <c r="BM230" s="25"/>
      <c r="BN230" s="25"/>
      <c r="BO230" s="25"/>
      <c r="BP230" s="25"/>
      <c r="BQ230" s="25"/>
      <c r="BR230" s="25"/>
      <c r="BS230" s="25"/>
      <c r="BT230" s="25"/>
      <c r="BU230" s="25"/>
      <c r="BV230" s="25"/>
      <c r="BW230" s="25"/>
      <c r="BX230" s="25"/>
      <c r="BY230" s="25"/>
      <c r="BZ230" s="25"/>
      <c r="CA230" s="25"/>
      <c r="CB230" s="25"/>
      <c r="CC230" s="25"/>
      <c r="CD230" s="25"/>
      <c r="CE230" s="25"/>
      <c r="CF230" s="25"/>
      <c r="CG230" s="25"/>
      <c r="CH230" s="25"/>
      <c r="CI230" s="25"/>
      <c r="CJ230" s="25"/>
      <c r="CK230" s="25"/>
      <c r="CL230" s="25"/>
      <c r="CM230" s="25"/>
      <c r="CN230" s="25"/>
      <c r="CO230" s="25"/>
      <c r="CP230" s="25"/>
      <c r="CQ230" s="25"/>
      <c r="CR230" s="25"/>
      <c r="CS230" s="25"/>
      <c r="CT230" s="25"/>
      <c r="CU230" s="25"/>
      <c r="CV230" s="25"/>
      <c r="CW230" s="25"/>
      <c r="CX230" s="25"/>
      <c r="CY230" s="25"/>
      <c r="CZ230" s="25"/>
      <c r="DA230" s="25"/>
      <c r="DB230" s="25"/>
      <c r="DC230" s="25"/>
      <c r="DD230" s="25"/>
      <c r="DE230" s="25"/>
      <c r="DF230" s="25"/>
      <c r="DG230" s="25"/>
      <c r="DH230" s="25"/>
      <c r="DI230" s="25"/>
      <c r="DJ230" s="25"/>
      <c r="DK230" s="25"/>
      <c r="DL230" s="25"/>
      <c r="DM230" s="25"/>
      <c r="DN230" s="25"/>
      <c r="DO230" s="25"/>
      <c r="DP230" s="25"/>
      <c r="DQ230" s="25"/>
      <c r="DR230" s="25"/>
      <c r="DS230" s="25"/>
      <c r="DT230" s="25"/>
      <c r="DU230" s="25"/>
      <c r="DV230" s="25"/>
      <c r="DW230" s="25"/>
      <c r="DX230" s="25"/>
      <c r="DY230" s="25"/>
      <c r="DZ230" s="25"/>
      <c r="EA230" s="25"/>
      <c r="EB230" s="25"/>
      <c r="EC230" s="25"/>
      <c r="ED230" s="25"/>
      <c r="EE230" s="25"/>
      <c r="EF230" s="25"/>
      <c r="EG230" s="25"/>
      <c r="EH230" s="25"/>
      <c r="EI230" s="25"/>
      <c r="EJ230" s="25"/>
      <c r="EK230" s="25"/>
      <c r="EL230" s="25"/>
      <c r="EM230" s="25"/>
      <c r="EN230" s="25"/>
      <c r="EO230" s="25"/>
      <c r="EP230" s="25"/>
      <c r="EQ230" s="25"/>
      <c r="ER230" s="25"/>
      <c r="ES230" s="25"/>
      <c r="ET230" s="25"/>
    </row>
    <row r="231" spans="9:150" x14ac:dyDescent="0.25"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5"/>
      <c r="AD231" s="25"/>
      <c r="AE231" s="25"/>
      <c r="AF231" s="25"/>
      <c r="AG231" s="25"/>
      <c r="AH231" s="25"/>
      <c r="AI231" s="25"/>
      <c r="AJ231" s="25"/>
      <c r="AK231" s="25"/>
      <c r="AL231" s="25"/>
      <c r="AM231" s="25"/>
      <c r="AN231" s="25"/>
      <c r="AO231" s="25"/>
      <c r="AP231" s="25"/>
      <c r="AQ231" s="25"/>
      <c r="AR231" s="25"/>
      <c r="AS231" s="25"/>
      <c r="AT231" s="25"/>
      <c r="AU231" s="25"/>
      <c r="AV231" s="25"/>
      <c r="AW231" s="25"/>
      <c r="AX231" s="25"/>
      <c r="AY231" s="25"/>
      <c r="AZ231" s="25"/>
      <c r="BA231" s="25"/>
      <c r="BB231" s="25"/>
      <c r="BC231" s="25"/>
      <c r="BD231" s="25"/>
      <c r="BE231" s="25"/>
      <c r="BF231" s="25"/>
      <c r="BG231" s="25"/>
      <c r="BH231" s="25"/>
      <c r="BI231" s="25"/>
      <c r="BJ231" s="25"/>
      <c r="BK231" s="25"/>
      <c r="BL231" s="25"/>
      <c r="BM231" s="25"/>
      <c r="BN231" s="25"/>
      <c r="BO231" s="25"/>
      <c r="BP231" s="25"/>
      <c r="BQ231" s="25"/>
      <c r="BR231" s="25"/>
      <c r="BS231" s="25"/>
      <c r="BT231" s="25"/>
      <c r="BU231" s="25"/>
      <c r="BV231" s="25"/>
      <c r="BW231" s="25"/>
      <c r="BX231" s="25"/>
      <c r="BY231" s="25"/>
      <c r="BZ231" s="25"/>
      <c r="CA231" s="25"/>
      <c r="CB231" s="25"/>
      <c r="CC231" s="25"/>
      <c r="CD231" s="25"/>
      <c r="CE231" s="25"/>
      <c r="CF231" s="25"/>
      <c r="CG231" s="25"/>
      <c r="CH231" s="25"/>
      <c r="CI231" s="25"/>
      <c r="CJ231" s="25"/>
      <c r="CK231" s="25"/>
      <c r="CL231" s="25"/>
      <c r="CM231" s="25"/>
      <c r="CN231" s="25"/>
      <c r="CO231" s="25"/>
      <c r="CP231" s="25"/>
      <c r="CQ231" s="25"/>
      <c r="CR231" s="25"/>
      <c r="CS231" s="25"/>
      <c r="CT231" s="25"/>
      <c r="CU231" s="25"/>
      <c r="CV231" s="25"/>
      <c r="CW231" s="25"/>
      <c r="CX231" s="25"/>
      <c r="CY231" s="25"/>
      <c r="CZ231" s="25"/>
      <c r="DA231" s="25"/>
      <c r="DB231" s="25"/>
      <c r="DC231" s="25"/>
      <c r="DD231" s="25"/>
      <c r="DE231" s="25"/>
      <c r="DF231" s="25"/>
      <c r="DG231" s="25"/>
      <c r="DH231" s="25"/>
      <c r="DI231" s="25"/>
      <c r="DJ231" s="25"/>
      <c r="DK231" s="25"/>
      <c r="DL231" s="25"/>
      <c r="DM231" s="25"/>
      <c r="DN231" s="25"/>
      <c r="DO231" s="25"/>
      <c r="DP231" s="25"/>
      <c r="DQ231" s="25"/>
      <c r="DR231" s="25"/>
      <c r="DS231" s="25"/>
      <c r="DT231" s="25"/>
      <c r="DU231" s="25"/>
      <c r="DV231" s="25"/>
      <c r="DW231" s="25"/>
      <c r="DX231" s="25"/>
      <c r="DY231" s="25"/>
      <c r="DZ231" s="25"/>
      <c r="EA231" s="25"/>
      <c r="EB231" s="25"/>
      <c r="EC231" s="25"/>
      <c r="ED231" s="25"/>
      <c r="EE231" s="25"/>
      <c r="EF231" s="25"/>
      <c r="EG231" s="25"/>
      <c r="EH231" s="25"/>
      <c r="EI231" s="25"/>
      <c r="EJ231" s="25"/>
      <c r="EK231" s="25"/>
      <c r="EL231" s="25"/>
      <c r="EM231" s="25"/>
      <c r="EN231" s="25"/>
      <c r="EO231" s="25"/>
      <c r="EP231" s="25"/>
      <c r="EQ231" s="25"/>
      <c r="ER231" s="25"/>
      <c r="ES231" s="25"/>
      <c r="ET231" s="25"/>
    </row>
    <row r="232" spans="9:150" x14ac:dyDescent="0.25"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  <c r="AC232" s="25"/>
      <c r="AD232" s="25"/>
      <c r="AE232" s="25"/>
      <c r="AF232" s="25"/>
      <c r="AG232" s="25"/>
      <c r="AH232" s="25"/>
      <c r="AI232" s="25"/>
      <c r="AJ232" s="25"/>
      <c r="AK232" s="25"/>
      <c r="AL232" s="25"/>
      <c r="AM232" s="25"/>
      <c r="AN232" s="25"/>
      <c r="AO232" s="25"/>
      <c r="AP232" s="25"/>
      <c r="AQ232" s="25"/>
      <c r="AR232" s="25"/>
      <c r="AS232" s="25"/>
      <c r="AT232" s="25"/>
      <c r="AU232" s="25"/>
      <c r="AV232" s="25"/>
      <c r="AW232" s="25"/>
      <c r="AX232" s="25"/>
      <c r="AY232" s="25"/>
      <c r="AZ232" s="25"/>
      <c r="BA232" s="25"/>
      <c r="BB232" s="25"/>
      <c r="BC232" s="25"/>
      <c r="BD232" s="25"/>
      <c r="BE232" s="25"/>
      <c r="BF232" s="25"/>
      <c r="BG232" s="25"/>
      <c r="BH232" s="25"/>
      <c r="BI232" s="25"/>
      <c r="BJ232" s="25"/>
      <c r="BK232" s="25"/>
      <c r="BL232" s="25"/>
      <c r="BM232" s="25"/>
      <c r="BN232" s="25"/>
      <c r="BO232" s="25"/>
      <c r="BP232" s="25"/>
      <c r="BQ232" s="25"/>
      <c r="BR232" s="25"/>
      <c r="BS232" s="25"/>
      <c r="BT232" s="25"/>
      <c r="BU232" s="25"/>
      <c r="BV232" s="25"/>
      <c r="BW232" s="25"/>
      <c r="BX232" s="25"/>
      <c r="BY232" s="25"/>
      <c r="BZ232" s="25"/>
      <c r="CA232" s="25"/>
      <c r="CB232" s="25"/>
      <c r="CC232" s="25"/>
      <c r="CD232" s="25"/>
      <c r="CE232" s="25"/>
      <c r="CF232" s="25"/>
      <c r="CG232" s="25"/>
      <c r="CH232" s="25"/>
      <c r="CI232" s="25"/>
      <c r="CJ232" s="25"/>
      <c r="CK232" s="25"/>
      <c r="CL232" s="25"/>
      <c r="CM232" s="25"/>
      <c r="CN232" s="25"/>
      <c r="CO232" s="25"/>
      <c r="CP232" s="25"/>
      <c r="CQ232" s="25"/>
      <c r="CR232" s="25"/>
      <c r="CS232" s="25"/>
      <c r="CT232" s="25"/>
      <c r="CU232" s="25"/>
      <c r="CV232" s="25"/>
      <c r="CW232" s="25"/>
      <c r="CX232" s="25"/>
      <c r="CY232" s="25"/>
      <c r="CZ232" s="25"/>
      <c r="DA232" s="25"/>
      <c r="DB232" s="25"/>
      <c r="DC232" s="25"/>
      <c r="DD232" s="25"/>
      <c r="DE232" s="25"/>
      <c r="DF232" s="25"/>
      <c r="DG232" s="25"/>
      <c r="DH232" s="25"/>
      <c r="DI232" s="25"/>
      <c r="DJ232" s="25"/>
      <c r="DK232" s="25"/>
      <c r="DL232" s="25"/>
      <c r="DM232" s="25"/>
      <c r="DN232" s="25"/>
      <c r="DO232" s="25"/>
      <c r="DP232" s="25"/>
      <c r="DQ232" s="25"/>
      <c r="DR232" s="25"/>
      <c r="DS232" s="25"/>
      <c r="DT232" s="25"/>
      <c r="DU232" s="25"/>
      <c r="DV232" s="25"/>
      <c r="DW232" s="25"/>
      <c r="DX232" s="25"/>
      <c r="DY232" s="25"/>
      <c r="DZ232" s="25"/>
      <c r="EA232" s="25"/>
      <c r="EB232" s="25"/>
      <c r="EC232" s="25"/>
      <c r="ED232" s="25"/>
      <c r="EE232" s="25"/>
      <c r="EF232" s="25"/>
      <c r="EG232" s="25"/>
      <c r="EH232" s="25"/>
      <c r="EI232" s="25"/>
      <c r="EJ232" s="25"/>
      <c r="EK232" s="25"/>
      <c r="EL232" s="25"/>
      <c r="EM232" s="25"/>
      <c r="EN232" s="25"/>
      <c r="EO232" s="25"/>
      <c r="EP232" s="25"/>
      <c r="EQ232" s="25"/>
      <c r="ER232" s="25"/>
      <c r="ES232" s="25"/>
      <c r="ET232" s="25"/>
    </row>
    <row r="233" spans="9:150" x14ac:dyDescent="0.25"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25"/>
      <c r="AD233" s="25"/>
      <c r="AE233" s="25"/>
      <c r="AF233" s="25"/>
      <c r="AG233" s="25"/>
      <c r="AH233" s="25"/>
      <c r="AI233" s="25"/>
      <c r="AJ233" s="25"/>
      <c r="AK233" s="25"/>
      <c r="AL233" s="25"/>
      <c r="AM233" s="25"/>
      <c r="AN233" s="25"/>
      <c r="AO233" s="25"/>
      <c r="AP233" s="25"/>
      <c r="AQ233" s="25"/>
      <c r="AR233" s="25"/>
      <c r="AS233" s="25"/>
      <c r="AT233" s="25"/>
      <c r="AU233" s="25"/>
      <c r="AV233" s="25"/>
      <c r="AW233" s="25"/>
      <c r="AX233" s="25"/>
      <c r="AY233" s="25"/>
      <c r="AZ233" s="25"/>
      <c r="BA233" s="25"/>
      <c r="BB233" s="25"/>
      <c r="BC233" s="25"/>
      <c r="BD233" s="25"/>
      <c r="BE233" s="25"/>
      <c r="BF233" s="25"/>
      <c r="BG233" s="25"/>
      <c r="BH233" s="25"/>
      <c r="BI233" s="25"/>
      <c r="BJ233" s="25"/>
      <c r="BK233" s="25"/>
      <c r="BL233" s="25"/>
      <c r="BM233" s="25"/>
      <c r="BN233" s="25"/>
      <c r="BO233" s="25"/>
      <c r="BP233" s="25"/>
      <c r="BQ233" s="25"/>
      <c r="BR233" s="25"/>
      <c r="BS233" s="25"/>
      <c r="BT233" s="25"/>
      <c r="BU233" s="25"/>
      <c r="BV233" s="25"/>
      <c r="BW233" s="25"/>
      <c r="BX233" s="25"/>
      <c r="BY233" s="25"/>
      <c r="BZ233" s="25"/>
      <c r="CA233" s="25"/>
      <c r="CB233" s="25"/>
      <c r="CC233" s="25"/>
      <c r="CD233" s="25"/>
      <c r="CE233" s="25"/>
      <c r="CF233" s="25"/>
      <c r="CG233" s="25"/>
      <c r="CH233" s="25"/>
      <c r="CI233" s="25"/>
      <c r="CJ233" s="25"/>
      <c r="CK233" s="25"/>
      <c r="CL233" s="25"/>
      <c r="CM233" s="25"/>
      <c r="CN233" s="25"/>
      <c r="CO233" s="25"/>
      <c r="CP233" s="25"/>
      <c r="CQ233" s="25"/>
      <c r="CR233" s="25"/>
      <c r="CS233" s="25"/>
      <c r="CT233" s="25"/>
      <c r="CU233" s="25"/>
      <c r="CV233" s="25"/>
      <c r="CW233" s="25"/>
      <c r="CX233" s="25"/>
      <c r="CY233" s="25"/>
      <c r="CZ233" s="25"/>
      <c r="DA233" s="25"/>
      <c r="DB233" s="25"/>
      <c r="DC233" s="25"/>
      <c r="DD233" s="25"/>
      <c r="DE233" s="25"/>
      <c r="DF233" s="25"/>
      <c r="DG233" s="25"/>
      <c r="DH233" s="25"/>
      <c r="DI233" s="25"/>
      <c r="DJ233" s="25"/>
      <c r="DK233" s="25"/>
      <c r="DL233" s="25"/>
      <c r="DM233" s="25"/>
      <c r="DN233" s="25"/>
      <c r="DO233" s="25"/>
      <c r="DP233" s="25"/>
      <c r="DQ233" s="25"/>
      <c r="DR233" s="25"/>
      <c r="DS233" s="25"/>
      <c r="DT233" s="25"/>
      <c r="DU233" s="25"/>
      <c r="DV233" s="25"/>
      <c r="DW233" s="25"/>
      <c r="DX233" s="25"/>
      <c r="DY233" s="25"/>
      <c r="DZ233" s="25"/>
      <c r="EA233" s="25"/>
      <c r="EB233" s="25"/>
      <c r="EC233" s="25"/>
      <c r="ED233" s="25"/>
      <c r="EE233" s="25"/>
      <c r="EF233" s="25"/>
      <c r="EG233" s="25"/>
      <c r="EH233" s="25"/>
      <c r="EI233" s="25"/>
      <c r="EJ233" s="25"/>
      <c r="EK233" s="25"/>
      <c r="EL233" s="25"/>
      <c r="EM233" s="25"/>
      <c r="EN233" s="25"/>
      <c r="EO233" s="25"/>
      <c r="EP233" s="25"/>
      <c r="EQ233" s="25"/>
      <c r="ER233" s="25"/>
      <c r="ES233" s="25"/>
      <c r="ET233" s="25"/>
    </row>
    <row r="234" spans="9:150" x14ac:dyDescent="0.25"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25"/>
      <c r="AD234" s="25"/>
      <c r="AE234" s="25"/>
      <c r="AF234" s="25"/>
      <c r="AG234" s="25"/>
      <c r="AH234" s="25"/>
      <c r="AI234" s="25"/>
      <c r="AJ234" s="25"/>
      <c r="AK234" s="25"/>
      <c r="AL234" s="25"/>
      <c r="AM234" s="25"/>
      <c r="AN234" s="25"/>
      <c r="AO234" s="25"/>
      <c r="AP234" s="25"/>
      <c r="AQ234" s="25"/>
      <c r="AR234" s="25"/>
      <c r="AS234" s="25"/>
      <c r="AT234" s="25"/>
      <c r="AU234" s="25"/>
      <c r="AV234" s="25"/>
      <c r="AW234" s="25"/>
      <c r="AX234" s="25"/>
      <c r="AY234" s="25"/>
      <c r="AZ234" s="25"/>
      <c r="BA234" s="25"/>
      <c r="BB234" s="25"/>
      <c r="BC234" s="25"/>
      <c r="BD234" s="25"/>
      <c r="BE234" s="25"/>
      <c r="BF234" s="25"/>
      <c r="BG234" s="25"/>
      <c r="BH234" s="25"/>
      <c r="BI234" s="25"/>
      <c r="BJ234" s="25"/>
      <c r="BK234" s="25"/>
      <c r="BL234" s="25"/>
      <c r="BM234" s="25"/>
      <c r="BN234" s="25"/>
      <c r="BO234" s="25"/>
      <c r="BP234" s="25"/>
      <c r="BQ234" s="25"/>
      <c r="BR234" s="25"/>
      <c r="BS234" s="25"/>
      <c r="BT234" s="25"/>
      <c r="BU234" s="25"/>
      <c r="BV234" s="25"/>
      <c r="BW234" s="25"/>
      <c r="BX234" s="25"/>
      <c r="BY234" s="25"/>
      <c r="BZ234" s="25"/>
      <c r="CA234" s="25"/>
      <c r="CB234" s="25"/>
      <c r="CC234" s="25"/>
      <c r="CD234" s="25"/>
      <c r="CE234" s="25"/>
      <c r="CF234" s="25"/>
      <c r="CG234" s="25"/>
      <c r="CH234" s="25"/>
      <c r="CI234" s="25"/>
      <c r="CJ234" s="25"/>
      <c r="CK234" s="25"/>
      <c r="CL234" s="25"/>
      <c r="CM234" s="25"/>
      <c r="CN234" s="25"/>
      <c r="CO234" s="25"/>
      <c r="CP234" s="25"/>
      <c r="CQ234" s="25"/>
      <c r="CR234" s="25"/>
      <c r="CS234" s="25"/>
      <c r="CT234" s="25"/>
      <c r="CU234" s="25"/>
      <c r="CV234" s="25"/>
      <c r="CW234" s="25"/>
      <c r="CX234" s="25"/>
      <c r="CY234" s="25"/>
      <c r="CZ234" s="25"/>
      <c r="DA234" s="25"/>
      <c r="DB234" s="25"/>
      <c r="DC234" s="25"/>
      <c r="DD234" s="25"/>
      <c r="DE234" s="25"/>
      <c r="DF234" s="25"/>
      <c r="DG234" s="25"/>
      <c r="DH234" s="25"/>
      <c r="DI234" s="25"/>
      <c r="DJ234" s="25"/>
      <c r="DK234" s="25"/>
      <c r="DL234" s="25"/>
      <c r="DM234" s="25"/>
      <c r="DN234" s="25"/>
      <c r="DO234" s="25"/>
      <c r="DP234" s="25"/>
      <c r="DQ234" s="25"/>
      <c r="DR234" s="25"/>
      <c r="DS234" s="25"/>
      <c r="DT234" s="25"/>
      <c r="DU234" s="25"/>
      <c r="DV234" s="25"/>
      <c r="DW234" s="25"/>
      <c r="DX234" s="25"/>
      <c r="DY234" s="25"/>
      <c r="DZ234" s="25"/>
      <c r="EA234" s="25"/>
      <c r="EB234" s="25"/>
      <c r="EC234" s="25"/>
      <c r="ED234" s="25"/>
      <c r="EE234" s="25"/>
      <c r="EF234" s="25"/>
      <c r="EG234" s="25"/>
      <c r="EH234" s="25"/>
      <c r="EI234" s="25"/>
      <c r="EJ234" s="25"/>
      <c r="EK234" s="25"/>
      <c r="EL234" s="25"/>
      <c r="EM234" s="25"/>
      <c r="EN234" s="25"/>
      <c r="EO234" s="25"/>
      <c r="EP234" s="25"/>
      <c r="EQ234" s="25"/>
      <c r="ER234" s="25"/>
      <c r="ES234" s="25"/>
      <c r="ET234" s="25"/>
    </row>
    <row r="235" spans="9:150" x14ac:dyDescent="0.25"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5"/>
      <c r="AD235" s="25"/>
      <c r="AE235" s="25"/>
      <c r="AF235" s="25"/>
      <c r="AG235" s="25"/>
      <c r="AH235" s="25"/>
      <c r="AI235" s="25"/>
      <c r="AJ235" s="25"/>
      <c r="AK235" s="25"/>
      <c r="AL235" s="25"/>
      <c r="AM235" s="25"/>
      <c r="AN235" s="25"/>
      <c r="AO235" s="25"/>
      <c r="AP235" s="25"/>
      <c r="AQ235" s="25"/>
      <c r="AR235" s="25"/>
      <c r="AS235" s="25"/>
      <c r="AT235" s="25"/>
      <c r="AU235" s="25"/>
      <c r="AV235" s="25"/>
      <c r="AW235" s="25"/>
      <c r="AX235" s="25"/>
      <c r="AY235" s="25"/>
      <c r="AZ235" s="25"/>
      <c r="BA235" s="25"/>
      <c r="BB235" s="25"/>
      <c r="BC235" s="25"/>
      <c r="BD235" s="25"/>
      <c r="BE235" s="25"/>
      <c r="BF235" s="25"/>
      <c r="BG235" s="25"/>
      <c r="BH235" s="25"/>
      <c r="BI235" s="25"/>
      <c r="BJ235" s="25"/>
      <c r="BK235" s="25"/>
      <c r="BL235" s="25"/>
      <c r="BM235" s="25"/>
      <c r="BN235" s="25"/>
      <c r="BO235" s="25"/>
      <c r="BP235" s="25"/>
      <c r="BQ235" s="25"/>
      <c r="BR235" s="25"/>
      <c r="BS235" s="25"/>
      <c r="BT235" s="25"/>
      <c r="BU235" s="25"/>
      <c r="BV235" s="25"/>
      <c r="BW235" s="25"/>
      <c r="BX235" s="25"/>
      <c r="BY235" s="25"/>
      <c r="BZ235" s="25"/>
      <c r="CA235" s="25"/>
      <c r="CB235" s="25"/>
      <c r="CC235" s="25"/>
      <c r="CD235" s="25"/>
      <c r="CE235" s="25"/>
      <c r="CF235" s="25"/>
      <c r="CG235" s="25"/>
      <c r="CH235" s="25"/>
      <c r="CI235" s="25"/>
      <c r="CJ235" s="25"/>
      <c r="CK235" s="25"/>
      <c r="CL235" s="25"/>
      <c r="CM235" s="25"/>
      <c r="CN235" s="25"/>
      <c r="CO235" s="25"/>
      <c r="CP235" s="25"/>
      <c r="CQ235" s="25"/>
      <c r="CR235" s="25"/>
      <c r="CS235" s="25"/>
      <c r="CT235" s="25"/>
      <c r="CU235" s="25"/>
      <c r="CV235" s="25"/>
      <c r="CW235" s="25"/>
      <c r="CX235" s="25"/>
      <c r="CY235" s="25"/>
      <c r="CZ235" s="25"/>
      <c r="DA235" s="25"/>
      <c r="DB235" s="25"/>
      <c r="DC235" s="25"/>
      <c r="DD235" s="25"/>
      <c r="DE235" s="25"/>
      <c r="DF235" s="25"/>
      <c r="DG235" s="25"/>
      <c r="DH235" s="25"/>
      <c r="DI235" s="25"/>
      <c r="DJ235" s="25"/>
      <c r="DK235" s="25"/>
      <c r="DL235" s="25"/>
      <c r="DM235" s="25"/>
      <c r="DN235" s="25"/>
      <c r="DO235" s="25"/>
      <c r="DP235" s="25"/>
      <c r="DQ235" s="25"/>
      <c r="DR235" s="25"/>
      <c r="DS235" s="25"/>
      <c r="DT235" s="25"/>
      <c r="DU235" s="25"/>
      <c r="DV235" s="25"/>
      <c r="DW235" s="25"/>
      <c r="DX235" s="25"/>
      <c r="DY235" s="25"/>
      <c r="DZ235" s="25"/>
      <c r="EA235" s="25"/>
      <c r="EB235" s="25"/>
      <c r="EC235" s="25"/>
      <c r="ED235" s="25"/>
      <c r="EE235" s="25"/>
      <c r="EF235" s="25"/>
      <c r="EG235" s="25"/>
      <c r="EH235" s="25"/>
      <c r="EI235" s="25"/>
      <c r="EJ235" s="25"/>
      <c r="EK235" s="25"/>
      <c r="EL235" s="25"/>
      <c r="EM235" s="25"/>
      <c r="EN235" s="25"/>
      <c r="EO235" s="25"/>
      <c r="EP235" s="25"/>
      <c r="EQ235" s="25"/>
      <c r="ER235" s="25"/>
      <c r="ES235" s="25"/>
      <c r="ET235" s="25"/>
    </row>
    <row r="236" spans="9:150" x14ac:dyDescent="0.25"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  <c r="AC236" s="25"/>
      <c r="AD236" s="25"/>
      <c r="AE236" s="25"/>
      <c r="AF236" s="25"/>
      <c r="AG236" s="25"/>
      <c r="AH236" s="25"/>
      <c r="AI236" s="25"/>
      <c r="AJ236" s="25"/>
      <c r="AK236" s="25"/>
      <c r="AL236" s="25"/>
      <c r="AM236" s="25"/>
      <c r="AN236" s="25"/>
      <c r="AO236" s="25"/>
      <c r="AP236" s="25"/>
      <c r="AQ236" s="25"/>
      <c r="AR236" s="25"/>
      <c r="AS236" s="25"/>
      <c r="AT236" s="25"/>
      <c r="AU236" s="25"/>
      <c r="AV236" s="25"/>
      <c r="AW236" s="25"/>
      <c r="AX236" s="25"/>
      <c r="AY236" s="25"/>
      <c r="AZ236" s="25"/>
      <c r="BA236" s="25"/>
      <c r="BB236" s="25"/>
      <c r="BC236" s="25"/>
      <c r="BD236" s="25"/>
      <c r="BE236" s="25"/>
      <c r="BF236" s="25"/>
      <c r="BG236" s="25"/>
      <c r="BH236" s="25"/>
      <c r="BI236" s="25"/>
      <c r="BJ236" s="25"/>
      <c r="BK236" s="25"/>
      <c r="BL236" s="25"/>
      <c r="BM236" s="25"/>
      <c r="BN236" s="25"/>
      <c r="BO236" s="25"/>
      <c r="BP236" s="25"/>
      <c r="BQ236" s="25"/>
      <c r="BR236" s="25"/>
      <c r="BS236" s="25"/>
      <c r="BT236" s="25"/>
      <c r="BU236" s="25"/>
      <c r="BV236" s="25"/>
      <c r="BW236" s="25"/>
      <c r="BX236" s="25"/>
      <c r="BY236" s="25"/>
      <c r="BZ236" s="25"/>
      <c r="CA236" s="25"/>
      <c r="CB236" s="25"/>
      <c r="CC236" s="25"/>
      <c r="CD236" s="25"/>
      <c r="CE236" s="25"/>
      <c r="CF236" s="25"/>
      <c r="CG236" s="25"/>
      <c r="CH236" s="25"/>
      <c r="CI236" s="25"/>
      <c r="CJ236" s="25"/>
      <c r="CK236" s="25"/>
      <c r="CL236" s="25"/>
      <c r="CM236" s="25"/>
      <c r="CN236" s="25"/>
      <c r="CO236" s="25"/>
      <c r="CP236" s="25"/>
      <c r="CQ236" s="25"/>
      <c r="CR236" s="25"/>
      <c r="CS236" s="25"/>
      <c r="CT236" s="25"/>
      <c r="CU236" s="25"/>
      <c r="CV236" s="25"/>
      <c r="CW236" s="25"/>
      <c r="CX236" s="25"/>
      <c r="CY236" s="25"/>
      <c r="CZ236" s="25"/>
      <c r="DA236" s="25"/>
      <c r="DB236" s="25"/>
      <c r="DC236" s="25"/>
      <c r="DD236" s="25"/>
      <c r="DE236" s="25"/>
      <c r="DF236" s="25"/>
      <c r="DG236" s="25"/>
      <c r="DH236" s="25"/>
      <c r="DI236" s="25"/>
      <c r="DJ236" s="25"/>
      <c r="DK236" s="25"/>
      <c r="DL236" s="25"/>
      <c r="DM236" s="25"/>
      <c r="DN236" s="25"/>
      <c r="DO236" s="25"/>
      <c r="DP236" s="25"/>
      <c r="DQ236" s="25"/>
      <c r="DR236" s="25"/>
      <c r="DS236" s="25"/>
      <c r="DT236" s="25"/>
      <c r="DU236" s="25"/>
      <c r="DV236" s="25"/>
      <c r="DW236" s="25"/>
      <c r="DX236" s="25"/>
      <c r="DY236" s="25"/>
      <c r="DZ236" s="25"/>
      <c r="EA236" s="25"/>
      <c r="EB236" s="25"/>
      <c r="EC236" s="25"/>
      <c r="ED236" s="25"/>
      <c r="EE236" s="25"/>
      <c r="EF236" s="25"/>
      <c r="EG236" s="25"/>
      <c r="EH236" s="25"/>
      <c r="EI236" s="25"/>
      <c r="EJ236" s="25"/>
      <c r="EK236" s="25"/>
      <c r="EL236" s="25"/>
      <c r="EM236" s="25"/>
      <c r="EN236" s="25"/>
      <c r="EO236" s="25"/>
      <c r="EP236" s="25"/>
      <c r="EQ236" s="25"/>
      <c r="ER236" s="25"/>
      <c r="ES236" s="25"/>
      <c r="ET236" s="25"/>
    </row>
    <row r="237" spans="9:150" x14ac:dyDescent="0.25"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5"/>
      <c r="AD237" s="25"/>
      <c r="AE237" s="25"/>
      <c r="AF237" s="25"/>
      <c r="AG237" s="25"/>
      <c r="AH237" s="25"/>
      <c r="AI237" s="25"/>
      <c r="AJ237" s="25"/>
      <c r="AK237" s="25"/>
      <c r="AL237" s="25"/>
      <c r="AM237" s="25"/>
      <c r="AN237" s="25"/>
      <c r="AO237" s="25"/>
      <c r="AP237" s="25"/>
      <c r="AQ237" s="25"/>
      <c r="AR237" s="25"/>
      <c r="AS237" s="25"/>
      <c r="AT237" s="25"/>
      <c r="AU237" s="25"/>
      <c r="AV237" s="25"/>
      <c r="AW237" s="25"/>
      <c r="AX237" s="25"/>
      <c r="AY237" s="25"/>
      <c r="AZ237" s="25"/>
      <c r="BA237" s="25"/>
      <c r="BB237" s="25"/>
      <c r="BC237" s="25"/>
      <c r="BD237" s="25"/>
      <c r="BE237" s="25"/>
      <c r="BF237" s="25"/>
      <c r="BG237" s="25"/>
      <c r="BH237" s="25"/>
      <c r="BI237" s="25"/>
      <c r="BJ237" s="25"/>
      <c r="BK237" s="25"/>
      <c r="BL237" s="25"/>
      <c r="BM237" s="25"/>
      <c r="BN237" s="25"/>
      <c r="BO237" s="25"/>
      <c r="BP237" s="25"/>
      <c r="BQ237" s="25"/>
      <c r="BR237" s="25"/>
      <c r="BS237" s="25"/>
      <c r="BT237" s="25"/>
      <c r="BU237" s="25"/>
      <c r="BV237" s="25"/>
      <c r="BW237" s="25"/>
      <c r="BX237" s="25"/>
      <c r="BY237" s="25"/>
      <c r="BZ237" s="25"/>
      <c r="CA237" s="25"/>
      <c r="CB237" s="25"/>
      <c r="CC237" s="25"/>
      <c r="CD237" s="25"/>
      <c r="CE237" s="25"/>
      <c r="CF237" s="25"/>
      <c r="CG237" s="25"/>
      <c r="CH237" s="25"/>
      <c r="CI237" s="25"/>
      <c r="CJ237" s="25"/>
      <c r="CK237" s="25"/>
      <c r="CL237" s="25"/>
      <c r="CM237" s="25"/>
      <c r="CN237" s="25"/>
      <c r="CO237" s="25"/>
      <c r="CP237" s="25"/>
      <c r="CQ237" s="25"/>
      <c r="CR237" s="25"/>
      <c r="CS237" s="25"/>
      <c r="CT237" s="25"/>
      <c r="CU237" s="25"/>
      <c r="CV237" s="25"/>
      <c r="CW237" s="25"/>
      <c r="CX237" s="25"/>
      <c r="CY237" s="25"/>
      <c r="CZ237" s="25"/>
      <c r="DA237" s="25"/>
      <c r="DB237" s="25"/>
      <c r="DC237" s="25"/>
      <c r="DD237" s="25"/>
      <c r="DE237" s="25"/>
      <c r="DF237" s="25"/>
      <c r="DG237" s="25"/>
      <c r="DH237" s="25"/>
      <c r="DI237" s="25"/>
      <c r="DJ237" s="25"/>
      <c r="DK237" s="25"/>
      <c r="DL237" s="25"/>
      <c r="DM237" s="25"/>
      <c r="DN237" s="25"/>
      <c r="DO237" s="25"/>
      <c r="DP237" s="25"/>
      <c r="DQ237" s="25"/>
      <c r="DR237" s="25"/>
      <c r="DS237" s="25"/>
      <c r="DT237" s="25"/>
      <c r="DU237" s="25"/>
      <c r="DV237" s="25"/>
      <c r="DW237" s="25"/>
      <c r="DX237" s="25"/>
      <c r="DY237" s="25"/>
      <c r="DZ237" s="25"/>
      <c r="EA237" s="25"/>
      <c r="EB237" s="25"/>
      <c r="EC237" s="25"/>
      <c r="ED237" s="25"/>
      <c r="EE237" s="25"/>
      <c r="EF237" s="25"/>
      <c r="EG237" s="25"/>
      <c r="EH237" s="25"/>
      <c r="EI237" s="25"/>
      <c r="EJ237" s="25"/>
      <c r="EK237" s="25"/>
      <c r="EL237" s="25"/>
      <c r="EM237" s="25"/>
      <c r="EN237" s="25"/>
      <c r="EO237" s="25"/>
      <c r="EP237" s="25"/>
      <c r="EQ237" s="25"/>
      <c r="ER237" s="25"/>
      <c r="ES237" s="25"/>
      <c r="ET237" s="25"/>
    </row>
    <row r="238" spans="9:150" x14ac:dyDescent="0.25"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  <c r="AC238" s="25"/>
      <c r="AD238" s="25"/>
      <c r="AE238" s="25"/>
      <c r="AF238" s="25"/>
      <c r="AG238" s="25"/>
      <c r="AH238" s="25"/>
      <c r="AI238" s="25"/>
      <c r="AJ238" s="25"/>
      <c r="AK238" s="25"/>
      <c r="AL238" s="25"/>
      <c r="AM238" s="25"/>
      <c r="AN238" s="25"/>
      <c r="AO238" s="25"/>
      <c r="AP238" s="25"/>
      <c r="AQ238" s="25"/>
      <c r="AR238" s="25"/>
      <c r="AS238" s="25"/>
      <c r="AT238" s="25"/>
      <c r="AU238" s="25"/>
      <c r="AV238" s="25"/>
      <c r="AW238" s="25"/>
      <c r="AX238" s="25"/>
      <c r="AY238" s="25"/>
      <c r="AZ238" s="25"/>
      <c r="BA238" s="25"/>
      <c r="BB238" s="25"/>
      <c r="BC238" s="25"/>
      <c r="BD238" s="25"/>
      <c r="BE238" s="25"/>
      <c r="BF238" s="25"/>
      <c r="BG238" s="25"/>
      <c r="BH238" s="25"/>
      <c r="BI238" s="25"/>
      <c r="BJ238" s="25"/>
      <c r="BK238" s="25"/>
      <c r="BL238" s="25"/>
      <c r="BM238" s="25"/>
      <c r="BN238" s="25"/>
      <c r="BO238" s="25"/>
      <c r="BP238" s="25"/>
      <c r="BQ238" s="25"/>
      <c r="BR238" s="25"/>
      <c r="BS238" s="25"/>
      <c r="BT238" s="25"/>
      <c r="BU238" s="25"/>
      <c r="BV238" s="25"/>
      <c r="BW238" s="25"/>
      <c r="BX238" s="25"/>
      <c r="BY238" s="25"/>
      <c r="BZ238" s="25"/>
      <c r="CA238" s="25"/>
      <c r="CB238" s="25"/>
      <c r="CC238" s="25"/>
      <c r="CD238" s="25"/>
      <c r="CE238" s="25"/>
      <c r="CF238" s="25"/>
      <c r="CG238" s="25"/>
      <c r="CH238" s="25"/>
      <c r="CI238" s="25"/>
      <c r="CJ238" s="25"/>
      <c r="CK238" s="25"/>
      <c r="CL238" s="25"/>
      <c r="CM238" s="25"/>
      <c r="CN238" s="25"/>
      <c r="CO238" s="25"/>
      <c r="CP238" s="25"/>
      <c r="CQ238" s="25"/>
      <c r="CR238" s="25"/>
      <c r="CS238" s="25"/>
      <c r="CT238" s="25"/>
      <c r="CU238" s="25"/>
      <c r="CV238" s="25"/>
      <c r="CW238" s="25"/>
      <c r="CX238" s="25"/>
      <c r="CY238" s="25"/>
      <c r="CZ238" s="25"/>
      <c r="DA238" s="25"/>
      <c r="DB238" s="25"/>
      <c r="DC238" s="25"/>
      <c r="DD238" s="25"/>
      <c r="DE238" s="25"/>
      <c r="DF238" s="25"/>
      <c r="DG238" s="25"/>
      <c r="DH238" s="25"/>
      <c r="DI238" s="25"/>
      <c r="DJ238" s="25"/>
      <c r="DK238" s="25"/>
      <c r="DL238" s="25"/>
      <c r="DM238" s="25"/>
      <c r="DN238" s="25"/>
      <c r="DO238" s="25"/>
      <c r="DP238" s="25"/>
      <c r="DQ238" s="25"/>
      <c r="DR238" s="25"/>
      <c r="DS238" s="25"/>
      <c r="DT238" s="25"/>
      <c r="DU238" s="25"/>
      <c r="DV238" s="25"/>
      <c r="DW238" s="25"/>
      <c r="DX238" s="25"/>
      <c r="DY238" s="25"/>
      <c r="DZ238" s="25"/>
      <c r="EA238" s="25"/>
      <c r="EB238" s="25"/>
      <c r="EC238" s="25"/>
      <c r="ED238" s="25"/>
      <c r="EE238" s="25"/>
      <c r="EF238" s="25"/>
      <c r="EG238" s="25"/>
      <c r="EH238" s="25"/>
      <c r="EI238" s="25"/>
      <c r="EJ238" s="25"/>
      <c r="EK238" s="25"/>
      <c r="EL238" s="25"/>
      <c r="EM238" s="25"/>
      <c r="EN238" s="25"/>
      <c r="EO238" s="25"/>
      <c r="EP238" s="25"/>
      <c r="EQ238" s="25"/>
      <c r="ER238" s="25"/>
      <c r="ES238" s="25"/>
      <c r="ET238" s="25"/>
    </row>
    <row r="239" spans="9:150" x14ac:dyDescent="0.25"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  <c r="AC239" s="25"/>
      <c r="AD239" s="25"/>
      <c r="AE239" s="25"/>
      <c r="AF239" s="25"/>
      <c r="AG239" s="25"/>
      <c r="AH239" s="25"/>
      <c r="AI239" s="25"/>
      <c r="AJ239" s="25"/>
      <c r="AK239" s="25"/>
      <c r="AL239" s="25"/>
      <c r="AM239" s="25"/>
      <c r="AN239" s="25"/>
      <c r="AO239" s="25"/>
      <c r="AP239" s="25"/>
      <c r="AQ239" s="25"/>
      <c r="AR239" s="25"/>
      <c r="AS239" s="25"/>
      <c r="AT239" s="25"/>
      <c r="AU239" s="25"/>
      <c r="AV239" s="25"/>
      <c r="AW239" s="25"/>
      <c r="AX239" s="25"/>
      <c r="AY239" s="25"/>
      <c r="AZ239" s="25"/>
      <c r="BA239" s="25"/>
      <c r="BB239" s="25"/>
      <c r="BC239" s="25"/>
      <c r="BD239" s="25"/>
      <c r="BE239" s="25"/>
      <c r="BF239" s="25"/>
      <c r="BG239" s="25"/>
      <c r="BH239" s="25"/>
      <c r="BI239" s="25"/>
      <c r="BJ239" s="25"/>
      <c r="BK239" s="25"/>
      <c r="BL239" s="25"/>
      <c r="BM239" s="25"/>
      <c r="BN239" s="25"/>
      <c r="BO239" s="25"/>
      <c r="BP239" s="25"/>
      <c r="BQ239" s="25"/>
      <c r="BR239" s="25"/>
      <c r="BS239" s="25"/>
      <c r="BT239" s="25"/>
      <c r="BU239" s="25"/>
      <c r="BV239" s="25"/>
      <c r="BW239" s="25"/>
      <c r="BX239" s="25"/>
      <c r="BY239" s="25"/>
      <c r="BZ239" s="25"/>
      <c r="CA239" s="25"/>
      <c r="CB239" s="25"/>
      <c r="CC239" s="25"/>
      <c r="CD239" s="25"/>
      <c r="CE239" s="25"/>
      <c r="CF239" s="25"/>
      <c r="CG239" s="25"/>
      <c r="CH239" s="25"/>
      <c r="CI239" s="25"/>
      <c r="CJ239" s="25"/>
      <c r="CK239" s="25"/>
      <c r="CL239" s="25"/>
      <c r="CM239" s="25"/>
      <c r="CN239" s="25"/>
      <c r="CO239" s="25"/>
      <c r="CP239" s="25"/>
      <c r="CQ239" s="25"/>
      <c r="CR239" s="25"/>
      <c r="CS239" s="25"/>
      <c r="CT239" s="25"/>
      <c r="CU239" s="25"/>
      <c r="CV239" s="25"/>
      <c r="CW239" s="25"/>
      <c r="CX239" s="25"/>
      <c r="CY239" s="25"/>
      <c r="CZ239" s="25"/>
      <c r="DA239" s="25"/>
      <c r="DB239" s="25"/>
      <c r="DC239" s="25"/>
      <c r="DD239" s="25"/>
      <c r="DE239" s="25"/>
      <c r="DF239" s="25"/>
      <c r="DG239" s="25"/>
      <c r="DH239" s="25"/>
      <c r="DI239" s="25"/>
      <c r="DJ239" s="25"/>
      <c r="DK239" s="25"/>
      <c r="DL239" s="25"/>
      <c r="DM239" s="25"/>
      <c r="DN239" s="25"/>
      <c r="DO239" s="25"/>
      <c r="DP239" s="25"/>
      <c r="DQ239" s="25"/>
      <c r="DR239" s="25"/>
      <c r="DS239" s="25"/>
      <c r="DT239" s="25"/>
      <c r="DU239" s="25"/>
      <c r="DV239" s="25"/>
      <c r="DW239" s="25"/>
      <c r="DX239" s="25"/>
      <c r="DY239" s="25"/>
      <c r="DZ239" s="25"/>
      <c r="EA239" s="25"/>
      <c r="EB239" s="25"/>
      <c r="EC239" s="25"/>
      <c r="ED239" s="25"/>
      <c r="EE239" s="25"/>
      <c r="EF239" s="25"/>
      <c r="EG239" s="25"/>
      <c r="EH239" s="25"/>
      <c r="EI239" s="25"/>
      <c r="EJ239" s="25"/>
      <c r="EK239" s="25"/>
      <c r="EL239" s="25"/>
      <c r="EM239" s="25"/>
      <c r="EN239" s="25"/>
      <c r="EO239" s="25"/>
      <c r="EP239" s="25"/>
      <c r="EQ239" s="25"/>
      <c r="ER239" s="25"/>
      <c r="ES239" s="25"/>
      <c r="ET239" s="25"/>
    </row>
    <row r="240" spans="9:150" x14ac:dyDescent="0.25"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  <c r="AC240" s="25"/>
      <c r="AD240" s="25"/>
      <c r="AE240" s="25"/>
      <c r="AF240" s="25"/>
      <c r="AG240" s="25"/>
      <c r="AH240" s="25"/>
      <c r="AI240" s="25"/>
      <c r="AJ240" s="25"/>
      <c r="AK240" s="25"/>
      <c r="AL240" s="25"/>
      <c r="AM240" s="25"/>
      <c r="AN240" s="25"/>
      <c r="AO240" s="25"/>
      <c r="AP240" s="25"/>
      <c r="AQ240" s="25"/>
      <c r="AR240" s="25"/>
      <c r="AS240" s="25"/>
      <c r="AT240" s="25"/>
      <c r="AU240" s="25"/>
      <c r="AV240" s="25"/>
      <c r="AW240" s="25"/>
      <c r="AX240" s="25"/>
      <c r="AY240" s="25"/>
      <c r="AZ240" s="25"/>
      <c r="BA240" s="25"/>
      <c r="BB240" s="25"/>
      <c r="BC240" s="25"/>
      <c r="BD240" s="25"/>
      <c r="BE240" s="25"/>
      <c r="BF240" s="25"/>
      <c r="BG240" s="25"/>
      <c r="BH240" s="25"/>
      <c r="BI240" s="25"/>
      <c r="BJ240" s="25"/>
      <c r="BK240" s="25"/>
      <c r="BL240" s="25"/>
      <c r="BM240" s="25"/>
      <c r="BN240" s="25"/>
      <c r="BO240" s="25"/>
      <c r="BP240" s="25"/>
      <c r="BQ240" s="25"/>
      <c r="BR240" s="25"/>
      <c r="BS240" s="25"/>
      <c r="BT240" s="25"/>
      <c r="BU240" s="25"/>
      <c r="BV240" s="25"/>
      <c r="BW240" s="25"/>
      <c r="BX240" s="25"/>
      <c r="BY240" s="25"/>
      <c r="BZ240" s="25"/>
      <c r="CA240" s="25"/>
      <c r="CB240" s="25"/>
      <c r="CC240" s="25"/>
      <c r="CD240" s="25"/>
      <c r="CE240" s="25"/>
      <c r="CF240" s="25"/>
      <c r="CG240" s="25"/>
      <c r="CH240" s="25"/>
      <c r="CI240" s="25"/>
      <c r="CJ240" s="25"/>
      <c r="CK240" s="25"/>
      <c r="CL240" s="25"/>
      <c r="CM240" s="25"/>
      <c r="CN240" s="25"/>
      <c r="CO240" s="25"/>
      <c r="CP240" s="25"/>
      <c r="CQ240" s="25"/>
      <c r="CR240" s="25"/>
      <c r="CS240" s="25"/>
      <c r="CT240" s="25"/>
      <c r="CU240" s="25"/>
      <c r="CV240" s="25"/>
      <c r="CW240" s="25"/>
      <c r="CX240" s="25"/>
      <c r="CY240" s="25"/>
      <c r="CZ240" s="25"/>
      <c r="DA240" s="25"/>
      <c r="DB240" s="25"/>
      <c r="DC240" s="25"/>
      <c r="DD240" s="25"/>
      <c r="DE240" s="25"/>
      <c r="DF240" s="25"/>
      <c r="DG240" s="25"/>
      <c r="DH240" s="25"/>
      <c r="DI240" s="25"/>
      <c r="DJ240" s="25"/>
      <c r="DK240" s="25"/>
      <c r="DL240" s="25"/>
      <c r="DM240" s="25"/>
      <c r="DN240" s="25"/>
      <c r="DO240" s="25"/>
      <c r="DP240" s="25"/>
      <c r="DQ240" s="25"/>
      <c r="DR240" s="25"/>
      <c r="DS240" s="25"/>
      <c r="DT240" s="25"/>
      <c r="DU240" s="25"/>
      <c r="DV240" s="25"/>
      <c r="DW240" s="25"/>
      <c r="DX240" s="25"/>
      <c r="DY240" s="25"/>
      <c r="DZ240" s="25"/>
      <c r="EA240" s="25"/>
      <c r="EB240" s="25"/>
      <c r="EC240" s="25"/>
      <c r="ED240" s="25"/>
      <c r="EE240" s="25"/>
      <c r="EF240" s="25"/>
      <c r="EG240" s="25"/>
      <c r="EH240" s="25"/>
      <c r="EI240" s="25"/>
      <c r="EJ240" s="25"/>
      <c r="EK240" s="25"/>
      <c r="EL240" s="25"/>
      <c r="EM240" s="25"/>
      <c r="EN240" s="25"/>
      <c r="EO240" s="25"/>
      <c r="EP240" s="25"/>
      <c r="EQ240" s="25"/>
      <c r="ER240" s="25"/>
      <c r="ES240" s="25"/>
      <c r="ET240" s="25"/>
    </row>
    <row r="241" spans="9:150" x14ac:dyDescent="0.25"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  <c r="AC241" s="25"/>
      <c r="AD241" s="25"/>
      <c r="AE241" s="25"/>
      <c r="AF241" s="25"/>
      <c r="AG241" s="25"/>
      <c r="AH241" s="25"/>
      <c r="AI241" s="25"/>
      <c r="AJ241" s="25"/>
      <c r="AK241" s="25"/>
      <c r="AL241" s="25"/>
      <c r="AM241" s="25"/>
      <c r="AN241" s="25"/>
      <c r="AO241" s="25"/>
      <c r="AP241" s="25"/>
      <c r="AQ241" s="25"/>
      <c r="AR241" s="25"/>
      <c r="AS241" s="25"/>
      <c r="AT241" s="25"/>
      <c r="AU241" s="25"/>
      <c r="AV241" s="25"/>
      <c r="AW241" s="25"/>
      <c r="AX241" s="25"/>
      <c r="AY241" s="25"/>
      <c r="AZ241" s="25"/>
      <c r="BA241" s="25"/>
      <c r="BB241" s="25"/>
      <c r="BC241" s="25"/>
      <c r="BD241" s="25"/>
      <c r="BE241" s="25"/>
      <c r="BF241" s="25"/>
      <c r="BG241" s="25"/>
      <c r="BH241" s="25"/>
      <c r="BI241" s="25"/>
      <c r="BJ241" s="25"/>
      <c r="BK241" s="25"/>
      <c r="BL241" s="25"/>
      <c r="BM241" s="25"/>
      <c r="BN241" s="25"/>
      <c r="BO241" s="25"/>
      <c r="BP241" s="25"/>
      <c r="BQ241" s="25"/>
      <c r="BR241" s="25"/>
      <c r="BS241" s="25"/>
      <c r="BT241" s="25"/>
      <c r="BU241" s="25"/>
      <c r="BV241" s="25"/>
      <c r="BW241" s="25"/>
      <c r="BX241" s="25"/>
      <c r="BY241" s="25"/>
      <c r="BZ241" s="25"/>
      <c r="CA241" s="25"/>
      <c r="CB241" s="25"/>
      <c r="CC241" s="25"/>
      <c r="CD241" s="25"/>
      <c r="CE241" s="25"/>
      <c r="CF241" s="25"/>
      <c r="CG241" s="25"/>
      <c r="CH241" s="25"/>
      <c r="CI241" s="25"/>
      <c r="CJ241" s="25"/>
      <c r="CK241" s="25"/>
      <c r="CL241" s="25"/>
      <c r="CM241" s="25"/>
      <c r="CN241" s="25"/>
      <c r="CO241" s="25"/>
      <c r="CP241" s="25"/>
      <c r="CQ241" s="25"/>
      <c r="CR241" s="25"/>
      <c r="CS241" s="25"/>
      <c r="CT241" s="25"/>
      <c r="CU241" s="25"/>
      <c r="CV241" s="25"/>
      <c r="CW241" s="25"/>
      <c r="CX241" s="25"/>
      <c r="CY241" s="25"/>
      <c r="CZ241" s="25"/>
      <c r="DA241" s="25"/>
      <c r="DB241" s="25"/>
      <c r="DC241" s="25"/>
      <c r="DD241" s="25"/>
      <c r="DE241" s="25"/>
      <c r="DF241" s="25"/>
      <c r="DG241" s="25"/>
      <c r="DH241" s="25"/>
      <c r="DI241" s="25"/>
      <c r="DJ241" s="25"/>
      <c r="DK241" s="25"/>
      <c r="DL241" s="25"/>
      <c r="DM241" s="25"/>
      <c r="DN241" s="25"/>
      <c r="DO241" s="25"/>
      <c r="DP241" s="25"/>
      <c r="DQ241" s="25"/>
      <c r="DR241" s="25"/>
      <c r="DS241" s="25"/>
      <c r="DT241" s="25"/>
      <c r="DU241" s="25"/>
      <c r="DV241" s="25"/>
      <c r="DW241" s="25"/>
      <c r="DX241" s="25"/>
      <c r="DY241" s="25"/>
      <c r="DZ241" s="25"/>
      <c r="EA241" s="25"/>
      <c r="EB241" s="25"/>
      <c r="EC241" s="25"/>
      <c r="ED241" s="25"/>
      <c r="EE241" s="25"/>
      <c r="EF241" s="25"/>
      <c r="EG241" s="25"/>
      <c r="EH241" s="25"/>
      <c r="EI241" s="25"/>
      <c r="EJ241" s="25"/>
      <c r="EK241" s="25"/>
      <c r="EL241" s="25"/>
      <c r="EM241" s="25"/>
      <c r="EN241" s="25"/>
      <c r="EO241" s="25"/>
      <c r="EP241" s="25"/>
      <c r="EQ241" s="25"/>
      <c r="ER241" s="25"/>
      <c r="ES241" s="25"/>
      <c r="ET241" s="25"/>
    </row>
    <row r="242" spans="9:150" x14ac:dyDescent="0.25"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  <c r="AC242" s="25"/>
      <c r="AD242" s="25"/>
      <c r="AE242" s="25"/>
      <c r="AF242" s="25"/>
      <c r="AG242" s="25"/>
      <c r="AH242" s="25"/>
      <c r="AI242" s="25"/>
      <c r="AJ242" s="25"/>
      <c r="AK242" s="25"/>
      <c r="AL242" s="25"/>
      <c r="AM242" s="25"/>
      <c r="AN242" s="25"/>
      <c r="AO242" s="25"/>
      <c r="AP242" s="25"/>
      <c r="AQ242" s="25"/>
      <c r="AR242" s="25"/>
      <c r="AS242" s="25"/>
      <c r="AT242" s="25"/>
      <c r="AU242" s="25"/>
      <c r="AV242" s="25"/>
      <c r="AW242" s="25"/>
      <c r="AX242" s="25"/>
      <c r="AY242" s="25"/>
      <c r="AZ242" s="25"/>
      <c r="BA242" s="25"/>
      <c r="BB242" s="25"/>
      <c r="BC242" s="25"/>
      <c r="BD242" s="25"/>
      <c r="BE242" s="25"/>
      <c r="BF242" s="25"/>
      <c r="BG242" s="25"/>
      <c r="BH242" s="25"/>
      <c r="BI242" s="25"/>
      <c r="BJ242" s="25"/>
      <c r="BK242" s="25"/>
      <c r="BL242" s="25"/>
      <c r="BM242" s="25"/>
      <c r="BN242" s="25"/>
      <c r="BO242" s="25"/>
      <c r="BP242" s="25"/>
      <c r="BQ242" s="25"/>
      <c r="BR242" s="25"/>
      <c r="BS242" s="25"/>
      <c r="BT242" s="25"/>
      <c r="BU242" s="25"/>
      <c r="BV242" s="25"/>
      <c r="BW242" s="25"/>
      <c r="BX242" s="25"/>
      <c r="BY242" s="25"/>
      <c r="BZ242" s="25"/>
      <c r="CA242" s="25"/>
      <c r="CB242" s="25"/>
      <c r="CC242" s="25"/>
      <c r="CD242" s="25"/>
      <c r="CE242" s="25"/>
      <c r="CF242" s="25"/>
      <c r="CG242" s="25"/>
      <c r="CH242" s="25"/>
      <c r="CI242" s="25"/>
      <c r="CJ242" s="25"/>
      <c r="CK242" s="25"/>
      <c r="CL242" s="25"/>
      <c r="CM242" s="25"/>
      <c r="CN242" s="25"/>
      <c r="CO242" s="25"/>
      <c r="CP242" s="25"/>
      <c r="CQ242" s="25"/>
      <c r="CR242" s="25"/>
      <c r="CS242" s="25"/>
      <c r="CT242" s="25"/>
      <c r="CU242" s="25"/>
      <c r="CV242" s="25"/>
      <c r="CW242" s="25"/>
      <c r="CX242" s="25"/>
      <c r="CY242" s="25"/>
      <c r="CZ242" s="25"/>
      <c r="DA242" s="25"/>
      <c r="DB242" s="25"/>
      <c r="DC242" s="25"/>
      <c r="DD242" s="25"/>
      <c r="DE242" s="25"/>
      <c r="DF242" s="25"/>
      <c r="DG242" s="25"/>
      <c r="DH242" s="25"/>
      <c r="DI242" s="25"/>
      <c r="DJ242" s="25"/>
      <c r="DK242" s="25"/>
      <c r="DL242" s="25"/>
      <c r="DM242" s="25"/>
      <c r="DN242" s="25"/>
      <c r="DO242" s="25"/>
      <c r="DP242" s="25"/>
      <c r="DQ242" s="25"/>
      <c r="DR242" s="25"/>
      <c r="DS242" s="25"/>
      <c r="DT242" s="25"/>
      <c r="DU242" s="25"/>
      <c r="DV242" s="25"/>
      <c r="DW242" s="25"/>
      <c r="DX242" s="25"/>
      <c r="DY242" s="25"/>
      <c r="DZ242" s="25"/>
      <c r="EA242" s="25"/>
      <c r="EB242" s="25"/>
      <c r="EC242" s="25"/>
      <c r="ED242" s="25"/>
      <c r="EE242" s="25"/>
      <c r="EF242" s="25"/>
      <c r="EG242" s="25"/>
      <c r="EH242" s="25"/>
      <c r="EI242" s="25"/>
      <c r="EJ242" s="25"/>
      <c r="EK242" s="25"/>
      <c r="EL242" s="25"/>
      <c r="EM242" s="25"/>
      <c r="EN242" s="25"/>
      <c r="EO242" s="25"/>
      <c r="EP242" s="25"/>
      <c r="EQ242" s="25"/>
      <c r="ER242" s="25"/>
      <c r="ES242" s="25"/>
      <c r="ET242" s="25"/>
    </row>
    <row r="243" spans="9:150" x14ac:dyDescent="0.25"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  <c r="AC243" s="25"/>
      <c r="AD243" s="25"/>
      <c r="AE243" s="25"/>
      <c r="AF243" s="25"/>
      <c r="AG243" s="25"/>
      <c r="AH243" s="25"/>
      <c r="AI243" s="25"/>
      <c r="AJ243" s="25"/>
      <c r="AK243" s="25"/>
      <c r="AL243" s="25"/>
      <c r="AM243" s="25"/>
      <c r="AN243" s="25"/>
      <c r="AO243" s="25"/>
      <c r="AP243" s="25"/>
      <c r="AQ243" s="25"/>
      <c r="AR243" s="25"/>
      <c r="AS243" s="25"/>
      <c r="AT243" s="25"/>
      <c r="AU243" s="25"/>
      <c r="AV243" s="25"/>
      <c r="AW243" s="25"/>
      <c r="AX243" s="25"/>
      <c r="AY243" s="25"/>
      <c r="AZ243" s="25"/>
      <c r="BA243" s="25"/>
      <c r="BB243" s="25"/>
      <c r="BC243" s="25"/>
      <c r="BD243" s="25"/>
      <c r="BE243" s="25"/>
      <c r="BF243" s="25"/>
      <c r="BG243" s="25"/>
      <c r="BH243" s="25"/>
      <c r="BI243" s="25"/>
      <c r="BJ243" s="25"/>
      <c r="BK243" s="25"/>
      <c r="BL243" s="25"/>
      <c r="BM243" s="25"/>
      <c r="BN243" s="25"/>
      <c r="BO243" s="25"/>
      <c r="BP243" s="25"/>
      <c r="BQ243" s="25"/>
      <c r="BR243" s="25"/>
      <c r="BS243" s="25"/>
      <c r="BT243" s="25"/>
      <c r="BU243" s="25"/>
      <c r="BV243" s="25"/>
      <c r="BW243" s="25"/>
      <c r="BX243" s="25"/>
      <c r="BY243" s="25"/>
      <c r="BZ243" s="25"/>
      <c r="CA243" s="25"/>
      <c r="CB243" s="25"/>
      <c r="CC243" s="25"/>
      <c r="CD243" s="25"/>
      <c r="CE243" s="25"/>
      <c r="CF243" s="25"/>
      <c r="CG243" s="25"/>
      <c r="CH243" s="25"/>
      <c r="CI243" s="25"/>
      <c r="CJ243" s="25"/>
      <c r="CK243" s="25"/>
      <c r="CL243" s="25"/>
      <c r="CM243" s="25"/>
      <c r="CN243" s="25"/>
      <c r="CO243" s="25"/>
      <c r="CP243" s="25"/>
      <c r="CQ243" s="25"/>
      <c r="CR243" s="25"/>
      <c r="CS243" s="25"/>
      <c r="CT243" s="25"/>
      <c r="CU243" s="25"/>
      <c r="CV243" s="25"/>
      <c r="CW243" s="25"/>
      <c r="CX243" s="25"/>
      <c r="CY243" s="25"/>
      <c r="CZ243" s="25"/>
      <c r="DA243" s="25"/>
      <c r="DB243" s="25"/>
      <c r="DC243" s="25"/>
      <c r="DD243" s="25"/>
      <c r="DE243" s="25"/>
      <c r="DF243" s="25"/>
      <c r="DG243" s="25"/>
      <c r="DH243" s="25"/>
      <c r="DI243" s="25"/>
      <c r="DJ243" s="25"/>
      <c r="DK243" s="25"/>
      <c r="DL243" s="25"/>
      <c r="DM243" s="25"/>
      <c r="DN243" s="25"/>
      <c r="DO243" s="25"/>
      <c r="DP243" s="25"/>
      <c r="DQ243" s="25"/>
      <c r="DR243" s="25"/>
      <c r="DS243" s="25"/>
      <c r="DT243" s="25"/>
      <c r="DU243" s="25"/>
      <c r="DV243" s="25"/>
      <c r="DW243" s="25"/>
      <c r="DX243" s="25"/>
      <c r="DY243" s="25"/>
      <c r="DZ243" s="25"/>
      <c r="EA243" s="25"/>
      <c r="EB243" s="25"/>
      <c r="EC243" s="25"/>
      <c r="ED243" s="25"/>
      <c r="EE243" s="25"/>
      <c r="EF243" s="25"/>
      <c r="EG243" s="25"/>
      <c r="EH243" s="25"/>
      <c r="EI243" s="25"/>
      <c r="EJ243" s="25"/>
      <c r="EK243" s="25"/>
      <c r="EL243" s="25"/>
      <c r="EM243" s="25"/>
      <c r="EN243" s="25"/>
      <c r="EO243" s="25"/>
      <c r="EP243" s="25"/>
      <c r="EQ243" s="25"/>
      <c r="ER243" s="25"/>
      <c r="ES243" s="25"/>
      <c r="ET243" s="25"/>
    </row>
    <row r="244" spans="9:150" x14ac:dyDescent="0.25"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  <c r="AC244" s="25"/>
      <c r="AD244" s="25"/>
      <c r="AE244" s="25"/>
      <c r="AF244" s="25"/>
      <c r="AG244" s="25"/>
      <c r="AH244" s="25"/>
      <c r="AI244" s="25"/>
      <c r="AJ244" s="25"/>
      <c r="AK244" s="25"/>
      <c r="AL244" s="25"/>
      <c r="AM244" s="25"/>
      <c r="AN244" s="25"/>
      <c r="AO244" s="25"/>
      <c r="AP244" s="25"/>
      <c r="AQ244" s="25"/>
      <c r="AR244" s="25"/>
      <c r="AS244" s="25"/>
      <c r="AT244" s="25"/>
      <c r="AU244" s="25"/>
      <c r="AV244" s="25"/>
      <c r="AW244" s="25"/>
      <c r="AX244" s="25"/>
      <c r="AY244" s="25"/>
      <c r="AZ244" s="25"/>
      <c r="BA244" s="25"/>
      <c r="BB244" s="25"/>
      <c r="BC244" s="25"/>
      <c r="BD244" s="25"/>
      <c r="BE244" s="25"/>
      <c r="BF244" s="25"/>
      <c r="BG244" s="25"/>
      <c r="BH244" s="25"/>
      <c r="BI244" s="25"/>
      <c r="BJ244" s="25"/>
      <c r="BK244" s="25"/>
      <c r="BL244" s="25"/>
      <c r="BM244" s="25"/>
      <c r="BN244" s="25"/>
      <c r="BO244" s="25"/>
      <c r="BP244" s="25"/>
      <c r="BQ244" s="25"/>
      <c r="BR244" s="25"/>
      <c r="BS244" s="25"/>
      <c r="BT244" s="25"/>
      <c r="BU244" s="25"/>
      <c r="BV244" s="25"/>
      <c r="BW244" s="25"/>
      <c r="BX244" s="25"/>
      <c r="BY244" s="25"/>
      <c r="BZ244" s="25"/>
      <c r="CA244" s="25"/>
      <c r="CB244" s="25"/>
      <c r="CC244" s="25"/>
      <c r="CD244" s="25"/>
      <c r="CE244" s="25"/>
      <c r="CF244" s="25"/>
      <c r="CG244" s="25"/>
      <c r="CH244" s="25"/>
      <c r="CI244" s="25"/>
      <c r="CJ244" s="25"/>
      <c r="CK244" s="25"/>
      <c r="CL244" s="25"/>
      <c r="CM244" s="25"/>
      <c r="CN244" s="25"/>
      <c r="CO244" s="25"/>
      <c r="CP244" s="25"/>
      <c r="CQ244" s="25"/>
      <c r="CR244" s="25"/>
      <c r="CS244" s="25"/>
      <c r="CT244" s="25"/>
      <c r="CU244" s="25"/>
      <c r="CV244" s="25"/>
      <c r="CW244" s="25"/>
      <c r="CX244" s="25"/>
      <c r="CY244" s="25"/>
      <c r="CZ244" s="25"/>
      <c r="DA244" s="25"/>
      <c r="DB244" s="25"/>
      <c r="DC244" s="25"/>
      <c r="DD244" s="25"/>
      <c r="DE244" s="25"/>
      <c r="DF244" s="25"/>
      <c r="DG244" s="25"/>
      <c r="DH244" s="25"/>
      <c r="DI244" s="25"/>
      <c r="DJ244" s="25"/>
      <c r="DK244" s="25"/>
      <c r="DL244" s="25"/>
      <c r="DM244" s="25"/>
      <c r="DN244" s="25"/>
      <c r="DO244" s="25"/>
      <c r="DP244" s="25"/>
      <c r="DQ244" s="25"/>
      <c r="DR244" s="25"/>
      <c r="DS244" s="25"/>
      <c r="DT244" s="25"/>
      <c r="DU244" s="25"/>
      <c r="DV244" s="25"/>
      <c r="DW244" s="25"/>
      <c r="DX244" s="25"/>
      <c r="DY244" s="25"/>
      <c r="DZ244" s="25"/>
      <c r="EA244" s="25"/>
      <c r="EB244" s="25"/>
      <c r="EC244" s="25"/>
      <c r="ED244" s="25"/>
      <c r="EE244" s="25"/>
      <c r="EF244" s="25"/>
      <c r="EG244" s="25"/>
      <c r="EH244" s="25"/>
      <c r="EI244" s="25"/>
      <c r="EJ244" s="25"/>
      <c r="EK244" s="25"/>
      <c r="EL244" s="25"/>
      <c r="EM244" s="25"/>
      <c r="EN244" s="25"/>
      <c r="EO244" s="25"/>
      <c r="EP244" s="25"/>
      <c r="EQ244" s="25"/>
      <c r="ER244" s="25"/>
      <c r="ES244" s="25"/>
      <c r="ET244" s="25"/>
    </row>
    <row r="245" spans="9:150" x14ac:dyDescent="0.25"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  <c r="AC245" s="25"/>
      <c r="AD245" s="25"/>
      <c r="AE245" s="25"/>
      <c r="AF245" s="25"/>
      <c r="AG245" s="25"/>
      <c r="AH245" s="25"/>
      <c r="AI245" s="25"/>
      <c r="AJ245" s="25"/>
      <c r="AK245" s="25"/>
      <c r="AL245" s="25"/>
      <c r="AM245" s="25"/>
      <c r="AN245" s="25"/>
      <c r="AO245" s="25"/>
      <c r="AP245" s="25"/>
      <c r="AQ245" s="25"/>
      <c r="AR245" s="25"/>
      <c r="AS245" s="25"/>
      <c r="AT245" s="25"/>
      <c r="AU245" s="25"/>
      <c r="AV245" s="25"/>
      <c r="AW245" s="25"/>
      <c r="AX245" s="25"/>
      <c r="AY245" s="25"/>
      <c r="AZ245" s="25"/>
      <c r="BA245" s="25"/>
      <c r="BB245" s="25"/>
      <c r="BC245" s="25"/>
      <c r="BD245" s="25"/>
      <c r="BE245" s="25"/>
      <c r="BF245" s="25"/>
      <c r="BG245" s="25"/>
      <c r="BH245" s="25"/>
      <c r="BI245" s="25"/>
      <c r="BJ245" s="25"/>
      <c r="BK245" s="25"/>
      <c r="BL245" s="25"/>
      <c r="BM245" s="25"/>
      <c r="BN245" s="25"/>
      <c r="BO245" s="25"/>
      <c r="BP245" s="25"/>
      <c r="BQ245" s="25"/>
      <c r="BR245" s="25"/>
      <c r="BS245" s="25"/>
      <c r="BT245" s="25"/>
      <c r="BU245" s="25"/>
      <c r="BV245" s="25"/>
      <c r="BW245" s="25"/>
      <c r="BX245" s="25"/>
      <c r="BY245" s="25"/>
      <c r="BZ245" s="25"/>
      <c r="CA245" s="25"/>
      <c r="CB245" s="25"/>
      <c r="CC245" s="25"/>
      <c r="CD245" s="25"/>
      <c r="CE245" s="25"/>
      <c r="CF245" s="25"/>
      <c r="CG245" s="25"/>
      <c r="CH245" s="25"/>
      <c r="CI245" s="25"/>
      <c r="CJ245" s="25"/>
      <c r="CK245" s="25"/>
      <c r="CL245" s="25"/>
      <c r="CM245" s="25"/>
      <c r="CN245" s="25"/>
      <c r="CO245" s="25"/>
      <c r="CP245" s="25"/>
      <c r="CQ245" s="25"/>
      <c r="CR245" s="25"/>
      <c r="CS245" s="25"/>
      <c r="CT245" s="25"/>
      <c r="CU245" s="25"/>
      <c r="CV245" s="25"/>
      <c r="CW245" s="25"/>
      <c r="CX245" s="25"/>
      <c r="CY245" s="25"/>
      <c r="CZ245" s="25"/>
      <c r="DA245" s="25"/>
      <c r="DB245" s="25"/>
      <c r="DC245" s="25"/>
      <c r="DD245" s="25"/>
      <c r="DE245" s="25"/>
      <c r="DF245" s="25"/>
      <c r="DG245" s="25"/>
      <c r="DH245" s="25"/>
      <c r="DI245" s="25"/>
      <c r="DJ245" s="25"/>
      <c r="DK245" s="25"/>
      <c r="DL245" s="25"/>
      <c r="DM245" s="25"/>
      <c r="DN245" s="25"/>
      <c r="DO245" s="25"/>
      <c r="DP245" s="25"/>
      <c r="DQ245" s="25"/>
      <c r="DR245" s="25"/>
      <c r="DS245" s="25"/>
      <c r="DT245" s="25"/>
      <c r="DU245" s="25"/>
      <c r="DV245" s="25"/>
      <c r="DW245" s="25"/>
      <c r="DX245" s="25"/>
      <c r="DY245" s="25"/>
      <c r="DZ245" s="25"/>
      <c r="EA245" s="25"/>
      <c r="EB245" s="25"/>
      <c r="EC245" s="25"/>
      <c r="ED245" s="25"/>
      <c r="EE245" s="25"/>
      <c r="EF245" s="25"/>
      <c r="EG245" s="25"/>
      <c r="EH245" s="25"/>
      <c r="EI245" s="25"/>
      <c r="EJ245" s="25"/>
      <c r="EK245" s="25"/>
      <c r="EL245" s="25"/>
      <c r="EM245" s="25"/>
      <c r="EN245" s="25"/>
      <c r="EO245" s="25"/>
      <c r="EP245" s="25"/>
      <c r="EQ245" s="25"/>
      <c r="ER245" s="25"/>
      <c r="ES245" s="25"/>
      <c r="ET245" s="25"/>
    </row>
    <row r="246" spans="9:150" x14ac:dyDescent="0.25"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  <c r="AC246" s="25"/>
      <c r="AD246" s="25"/>
      <c r="AE246" s="25"/>
      <c r="AF246" s="25"/>
      <c r="AG246" s="25"/>
      <c r="AH246" s="25"/>
      <c r="AI246" s="25"/>
      <c r="AJ246" s="25"/>
      <c r="AK246" s="25"/>
      <c r="AL246" s="25"/>
      <c r="AM246" s="25"/>
      <c r="AN246" s="25"/>
      <c r="AO246" s="25"/>
      <c r="AP246" s="25"/>
      <c r="AQ246" s="25"/>
      <c r="AR246" s="25"/>
      <c r="AS246" s="25"/>
      <c r="AT246" s="25"/>
      <c r="AU246" s="25"/>
      <c r="AV246" s="25"/>
      <c r="AW246" s="25"/>
      <c r="AX246" s="25"/>
      <c r="AY246" s="25"/>
      <c r="AZ246" s="25"/>
      <c r="BA246" s="25"/>
      <c r="BB246" s="25"/>
      <c r="BC246" s="25"/>
      <c r="BD246" s="25"/>
      <c r="BE246" s="25"/>
      <c r="BF246" s="25"/>
      <c r="BG246" s="25"/>
      <c r="BH246" s="25"/>
      <c r="BI246" s="25"/>
      <c r="BJ246" s="25"/>
      <c r="BK246" s="25"/>
      <c r="BL246" s="25"/>
      <c r="BM246" s="25"/>
      <c r="BN246" s="25"/>
      <c r="BO246" s="25"/>
      <c r="BP246" s="25"/>
      <c r="BQ246" s="25"/>
      <c r="BR246" s="25"/>
      <c r="BS246" s="25"/>
      <c r="BT246" s="25"/>
      <c r="BU246" s="25"/>
      <c r="BV246" s="25"/>
      <c r="BW246" s="25"/>
      <c r="BX246" s="25"/>
      <c r="BY246" s="25"/>
      <c r="BZ246" s="25"/>
      <c r="CA246" s="25"/>
      <c r="CB246" s="25"/>
      <c r="CC246" s="25"/>
      <c r="CD246" s="25"/>
      <c r="CE246" s="25"/>
      <c r="CF246" s="25"/>
      <c r="CG246" s="25"/>
      <c r="CH246" s="25"/>
      <c r="CI246" s="25"/>
      <c r="CJ246" s="25"/>
      <c r="CK246" s="25"/>
      <c r="CL246" s="25"/>
      <c r="CM246" s="25"/>
      <c r="CN246" s="25"/>
      <c r="CO246" s="25"/>
      <c r="CP246" s="25"/>
      <c r="CQ246" s="25"/>
      <c r="CR246" s="25"/>
      <c r="CS246" s="25"/>
      <c r="CT246" s="25"/>
      <c r="CU246" s="25"/>
      <c r="CV246" s="25"/>
      <c r="CW246" s="25"/>
      <c r="CX246" s="25"/>
      <c r="CY246" s="25"/>
      <c r="CZ246" s="25"/>
      <c r="DA246" s="25"/>
      <c r="DB246" s="25"/>
      <c r="DC246" s="25"/>
      <c r="DD246" s="25"/>
      <c r="DE246" s="25"/>
      <c r="DF246" s="25"/>
      <c r="DG246" s="25"/>
      <c r="DH246" s="25"/>
      <c r="DI246" s="25"/>
      <c r="DJ246" s="25"/>
      <c r="DK246" s="25"/>
      <c r="DL246" s="25"/>
      <c r="DM246" s="25"/>
      <c r="DN246" s="25"/>
      <c r="DO246" s="25"/>
      <c r="DP246" s="25"/>
      <c r="DQ246" s="25"/>
      <c r="DR246" s="25"/>
      <c r="DS246" s="25"/>
      <c r="DT246" s="25"/>
      <c r="DU246" s="25"/>
      <c r="DV246" s="25"/>
      <c r="DW246" s="25"/>
      <c r="DX246" s="25"/>
      <c r="DY246" s="25"/>
      <c r="DZ246" s="25"/>
      <c r="EA246" s="25"/>
      <c r="EB246" s="25"/>
      <c r="EC246" s="25"/>
      <c r="ED246" s="25"/>
      <c r="EE246" s="25"/>
      <c r="EF246" s="25"/>
      <c r="EG246" s="25"/>
      <c r="EH246" s="25"/>
      <c r="EI246" s="25"/>
      <c r="EJ246" s="25"/>
      <c r="EK246" s="25"/>
      <c r="EL246" s="25"/>
      <c r="EM246" s="25"/>
      <c r="EN246" s="25"/>
      <c r="EO246" s="25"/>
      <c r="EP246" s="25"/>
      <c r="EQ246" s="25"/>
      <c r="ER246" s="25"/>
      <c r="ES246" s="25"/>
      <c r="ET246" s="25"/>
    </row>
    <row r="247" spans="9:150" x14ac:dyDescent="0.25"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  <c r="AB247" s="25"/>
      <c r="AC247" s="25"/>
      <c r="AD247" s="25"/>
      <c r="AE247" s="25"/>
      <c r="AF247" s="25"/>
      <c r="AG247" s="25"/>
      <c r="AH247" s="25"/>
      <c r="AI247" s="25"/>
      <c r="AJ247" s="25"/>
      <c r="AK247" s="25"/>
      <c r="AL247" s="25"/>
      <c r="AM247" s="25"/>
      <c r="AN247" s="25"/>
      <c r="AO247" s="25"/>
      <c r="AP247" s="25"/>
      <c r="AQ247" s="25"/>
      <c r="AR247" s="25"/>
      <c r="AS247" s="25"/>
      <c r="AT247" s="25"/>
      <c r="AU247" s="25"/>
      <c r="AV247" s="25"/>
      <c r="AW247" s="25"/>
      <c r="AX247" s="25"/>
      <c r="AY247" s="25"/>
      <c r="AZ247" s="25"/>
      <c r="BA247" s="25"/>
      <c r="BB247" s="25"/>
      <c r="BC247" s="25"/>
      <c r="BD247" s="25"/>
      <c r="BE247" s="25"/>
      <c r="BF247" s="25"/>
      <c r="BG247" s="25"/>
      <c r="BH247" s="25"/>
      <c r="BI247" s="25"/>
      <c r="BJ247" s="25"/>
      <c r="BK247" s="25"/>
      <c r="BL247" s="25"/>
      <c r="BM247" s="25"/>
      <c r="BN247" s="25"/>
      <c r="BO247" s="25"/>
      <c r="BP247" s="25"/>
      <c r="BQ247" s="25"/>
      <c r="BR247" s="25"/>
      <c r="BS247" s="25"/>
      <c r="BT247" s="25"/>
      <c r="BU247" s="25"/>
      <c r="BV247" s="25"/>
      <c r="BW247" s="25"/>
      <c r="BX247" s="25"/>
      <c r="BY247" s="25"/>
      <c r="BZ247" s="25"/>
      <c r="CA247" s="25"/>
      <c r="CB247" s="25"/>
      <c r="CC247" s="25"/>
      <c r="CD247" s="25"/>
      <c r="CE247" s="25"/>
      <c r="CF247" s="25"/>
      <c r="CG247" s="25"/>
      <c r="CH247" s="25"/>
      <c r="CI247" s="25"/>
      <c r="CJ247" s="25"/>
      <c r="CK247" s="25"/>
      <c r="CL247" s="25"/>
      <c r="CM247" s="25"/>
      <c r="CN247" s="25"/>
      <c r="CO247" s="25"/>
      <c r="CP247" s="25"/>
      <c r="CQ247" s="25"/>
      <c r="CR247" s="25"/>
      <c r="CS247" s="25"/>
      <c r="CT247" s="25"/>
      <c r="CU247" s="25"/>
      <c r="CV247" s="25"/>
      <c r="CW247" s="25"/>
      <c r="CX247" s="25"/>
      <c r="CY247" s="25"/>
      <c r="CZ247" s="25"/>
      <c r="DA247" s="25"/>
      <c r="DB247" s="25"/>
      <c r="DC247" s="25"/>
      <c r="DD247" s="25"/>
      <c r="DE247" s="25"/>
      <c r="DF247" s="25"/>
      <c r="DG247" s="25"/>
      <c r="DH247" s="25"/>
      <c r="DI247" s="25"/>
      <c r="DJ247" s="25"/>
      <c r="DK247" s="25"/>
      <c r="DL247" s="25"/>
      <c r="DM247" s="25"/>
      <c r="DN247" s="25"/>
      <c r="DO247" s="25"/>
      <c r="DP247" s="25"/>
      <c r="DQ247" s="25"/>
      <c r="DR247" s="25"/>
      <c r="DS247" s="25"/>
      <c r="DT247" s="25"/>
      <c r="DU247" s="25"/>
      <c r="DV247" s="25"/>
      <c r="DW247" s="25"/>
      <c r="DX247" s="25"/>
      <c r="DY247" s="25"/>
      <c r="DZ247" s="25"/>
      <c r="EA247" s="25"/>
      <c r="EB247" s="25"/>
      <c r="EC247" s="25"/>
      <c r="ED247" s="25"/>
      <c r="EE247" s="25"/>
      <c r="EF247" s="25"/>
      <c r="EG247" s="25"/>
      <c r="EH247" s="25"/>
      <c r="EI247" s="25"/>
      <c r="EJ247" s="25"/>
      <c r="EK247" s="25"/>
      <c r="EL247" s="25"/>
      <c r="EM247" s="25"/>
      <c r="EN247" s="25"/>
      <c r="EO247" s="25"/>
      <c r="EP247" s="25"/>
      <c r="EQ247" s="25"/>
      <c r="ER247" s="25"/>
      <c r="ES247" s="25"/>
      <c r="ET247" s="25"/>
    </row>
    <row r="248" spans="9:150" x14ac:dyDescent="0.25"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  <c r="AC248" s="25"/>
      <c r="AD248" s="25"/>
      <c r="AE248" s="25"/>
      <c r="AF248" s="25"/>
      <c r="AG248" s="25"/>
      <c r="AH248" s="25"/>
      <c r="AI248" s="25"/>
      <c r="AJ248" s="25"/>
      <c r="AK248" s="25"/>
      <c r="AL248" s="25"/>
      <c r="AM248" s="25"/>
      <c r="AN248" s="25"/>
      <c r="AO248" s="25"/>
      <c r="AP248" s="25"/>
      <c r="AQ248" s="25"/>
      <c r="AR248" s="25"/>
      <c r="AS248" s="25"/>
      <c r="AT248" s="25"/>
      <c r="AU248" s="25"/>
      <c r="AV248" s="25"/>
      <c r="AW248" s="25"/>
      <c r="AX248" s="25"/>
      <c r="AY248" s="25"/>
      <c r="AZ248" s="25"/>
      <c r="BA248" s="25"/>
      <c r="BB248" s="25"/>
      <c r="BC248" s="25"/>
      <c r="BD248" s="25"/>
      <c r="BE248" s="25"/>
      <c r="BF248" s="25"/>
      <c r="BG248" s="25"/>
      <c r="BH248" s="25"/>
      <c r="BI248" s="25"/>
      <c r="BJ248" s="25"/>
      <c r="BK248" s="25"/>
      <c r="BL248" s="25"/>
      <c r="BM248" s="25"/>
      <c r="BN248" s="25"/>
      <c r="BO248" s="25"/>
      <c r="BP248" s="25"/>
      <c r="BQ248" s="25"/>
      <c r="BR248" s="25"/>
      <c r="BS248" s="25"/>
      <c r="BT248" s="25"/>
      <c r="BU248" s="25"/>
      <c r="BV248" s="25"/>
      <c r="BW248" s="25"/>
      <c r="BX248" s="25"/>
      <c r="BY248" s="25"/>
      <c r="BZ248" s="25"/>
      <c r="CA248" s="25"/>
      <c r="CB248" s="25"/>
      <c r="CC248" s="25"/>
      <c r="CD248" s="25"/>
      <c r="CE248" s="25"/>
      <c r="CF248" s="25"/>
      <c r="CG248" s="25"/>
      <c r="CH248" s="25"/>
      <c r="CI248" s="25"/>
      <c r="CJ248" s="25"/>
      <c r="CK248" s="25"/>
      <c r="CL248" s="25"/>
      <c r="CM248" s="25"/>
      <c r="CN248" s="25"/>
      <c r="CO248" s="25"/>
      <c r="CP248" s="25"/>
      <c r="CQ248" s="25"/>
      <c r="CR248" s="25"/>
      <c r="CS248" s="25"/>
      <c r="CT248" s="25"/>
      <c r="CU248" s="25"/>
      <c r="CV248" s="25"/>
      <c r="CW248" s="25"/>
      <c r="CX248" s="25"/>
      <c r="CY248" s="25"/>
      <c r="CZ248" s="25"/>
      <c r="DA248" s="25"/>
      <c r="DB248" s="25"/>
      <c r="DC248" s="25"/>
      <c r="DD248" s="25"/>
      <c r="DE248" s="25"/>
      <c r="DF248" s="25"/>
      <c r="DG248" s="25"/>
      <c r="DH248" s="25"/>
      <c r="DI248" s="25"/>
      <c r="DJ248" s="25"/>
      <c r="DK248" s="25"/>
      <c r="DL248" s="25"/>
      <c r="DM248" s="25"/>
      <c r="DN248" s="25"/>
      <c r="DO248" s="25"/>
      <c r="DP248" s="25"/>
      <c r="DQ248" s="25"/>
      <c r="DR248" s="25"/>
      <c r="DS248" s="25"/>
      <c r="DT248" s="25"/>
      <c r="DU248" s="25"/>
      <c r="DV248" s="25"/>
      <c r="DW248" s="25"/>
      <c r="DX248" s="25"/>
      <c r="DY248" s="25"/>
      <c r="DZ248" s="25"/>
      <c r="EA248" s="25"/>
      <c r="EB248" s="25"/>
      <c r="EC248" s="25"/>
      <c r="ED248" s="25"/>
      <c r="EE248" s="25"/>
      <c r="EF248" s="25"/>
      <c r="EG248" s="25"/>
      <c r="EH248" s="25"/>
      <c r="EI248" s="25"/>
      <c r="EJ248" s="25"/>
      <c r="EK248" s="25"/>
      <c r="EL248" s="25"/>
      <c r="EM248" s="25"/>
      <c r="EN248" s="25"/>
      <c r="EO248" s="25"/>
      <c r="EP248" s="25"/>
      <c r="EQ248" s="25"/>
      <c r="ER248" s="25"/>
      <c r="ES248" s="25"/>
      <c r="ET248" s="25"/>
    </row>
    <row r="249" spans="9:150" x14ac:dyDescent="0.25"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  <c r="AC249" s="25"/>
      <c r="AD249" s="25"/>
      <c r="AE249" s="25"/>
      <c r="AF249" s="25"/>
      <c r="AG249" s="25"/>
      <c r="AH249" s="25"/>
      <c r="AI249" s="25"/>
      <c r="AJ249" s="25"/>
      <c r="AK249" s="25"/>
      <c r="AL249" s="25"/>
      <c r="AM249" s="25"/>
      <c r="AN249" s="25"/>
      <c r="AO249" s="25"/>
      <c r="AP249" s="25"/>
      <c r="AQ249" s="25"/>
      <c r="AR249" s="25"/>
      <c r="AS249" s="25"/>
      <c r="AT249" s="25"/>
      <c r="AU249" s="25"/>
      <c r="AV249" s="25"/>
      <c r="AW249" s="25"/>
      <c r="AX249" s="25"/>
      <c r="AY249" s="25"/>
      <c r="AZ249" s="25"/>
      <c r="BA249" s="25"/>
      <c r="BB249" s="25"/>
      <c r="BC249" s="25"/>
      <c r="BD249" s="25"/>
      <c r="BE249" s="25"/>
      <c r="BF249" s="25"/>
      <c r="BG249" s="25"/>
      <c r="BH249" s="25"/>
      <c r="BI249" s="25"/>
      <c r="BJ249" s="25"/>
      <c r="BK249" s="25"/>
      <c r="BL249" s="25"/>
      <c r="BM249" s="25"/>
      <c r="BN249" s="25"/>
      <c r="BO249" s="25"/>
      <c r="BP249" s="25"/>
      <c r="BQ249" s="25"/>
      <c r="BR249" s="25"/>
      <c r="BS249" s="25"/>
      <c r="BT249" s="25"/>
      <c r="BU249" s="25"/>
      <c r="BV249" s="25"/>
      <c r="BW249" s="25"/>
      <c r="BX249" s="25"/>
      <c r="BY249" s="25"/>
      <c r="BZ249" s="25"/>
      <c r="CA249" s="25"/>
      <c r="CB249" s="25"/>
      <c r="CC249" s="25"/>
      <c r="CD249" s="25"/>
      <c r="CE249" s="25"/>
      <c r="CF249" s="25"/>
      <c r="CG249" s="25"/>
      <c r="CH249" s="25"/>
      <c r="CI249" s="25"/>
      <c r="CJ249" s="25"/>
      <c r="CK249" s="25"/>
      <c r="CL249" s="25"/>
      <c r="CM249" s="25"/>
      <c r="CN249" s="25"/>
      <c r="CO249" s="25"/>
      <c r="CP249" s="25"/>
      <c r="CQ249" s="25"/>
      <c r="CR249" s="25"/>
      <c r="CS249" s="25"/>
      <c r="CT249" s="25"/>
      <c r="CU249" s="25"/>
      <c r="CV249" s="25"/>
      <c r="CW249" s="25"/>
      <c r="CX249" s="25"/>
      <c r="CY249" s="25"/>
      <c r="CZ249" s="25"/>
      <c r="DA249" s="25"/>
      <c r="DB249" s="25"/>
      <c r="DC249" s="25"/>
      <c r="DD249" s="25"/>
      <c r="DE249" s="25"/>
      <c r="DF249" s="25"/>
      <c r="DG249" s="25"/>
      <c r="DH249" s="25"/>
      <c r="DI249" s="25"/>
      <c r="DJ249" s="25"/>
      <c r="DK249" s="25"/>
      <c r="DL249" s="25"/>
      <c r="DM249" s="25"/>
      <c r="DN249" s="25"/>
      <c r="DO249" s="25"/>
      <c r="DP249" s="25"/>
      <c r="DQ249" s="25"/>
      <c r="DR249" s="25"/>
      <c r="DS249" s="25"/>
      <c r="DT249" s="25"/>
      <c r="DU249" s="25"/>
      <c r="DV249" s="25"/>
      <c r="DW249" s="25"/>
      <c r="DX249" s="25"/>
      <c r="DY249" s="25"/>
      <c r="DZ249" s="25"/>
      <c r="EA249" s="25"/>
      <c r="EB249" s="25"/>
      <c r="EC249" s="25"/>
      <c r="ED249" s="25"/>
      <c r="EE249" s="25"/>
      <c r="EF249" s="25"/>
      <c r="EG249" s="25"/>
      <c r="EH249" s="25"/>
      <c r="EI249" s="25"/>
      <c r="EJ249" s="25"/>
      <c r="EK249" s="25"/>
      <c r="EL249" s="25"/>
      <c r="EM249" s="25"/>
      <c r="EN249" s="25"/>
      <c r="EO249" s="25"/>
      <c r="EP249" s="25"/>
      <c r="EQ249" s="25"/>
      <c r="ER249" s="25"/>
      <c r="ES249" s="25"/>
      <c r="ET249" s="25"/>
    </row>
    <row r="250" spans="9:150" x14ac:dyDescent="0.25"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  <c r="AC250" s="25"/>
      <c r="AD250" s="25"/>
      <c r="AE250" s="25"/>
      <c r="AF250" s="25"/>
      <c r="AG250" s="25"/>
      <c r="AH250" s="25"/>
      <c r="AI250" s="25"/>
      <c r="AJ250" s="25"/>
      <c r="AK250" s="25"/>
      <c r="AL250" s="25"/>
      <c r="AM250" s="25"/>
      <c r="AN250" s="25"/>
      <c r="AO250" s="25"/>
      <c r="AP250" s="25"/>
      <c r="AQ250" s="25"/>
      <c r="AR250" s="25"/>
      <c r="AS250" s="25"/>
      <c r="AT250" s="25"/>
      <c r="AU250" s="25"/>
      <c r="AV250" s="25"/>
      <c r="AW250" s="25"/>
      <c r="AX250" s="25"/>
      <c r="AY250" s="25"/>
      <c r="AZ250" s="25"/>
      <c r="BA250" s="25"/>
      <c r="BB250" s="25"/>
      <c r="BC250" s="25"/>
      <c r="BD250" s="25"/>
      <c r="BE250" s="25"/>
      <c r="BF250" s="25"/>
      <c r="BG250" s="25"/>
      <c r="BH250" s="25"/>
      <c r="BI250" s="25"/>
      <c r="BJ250" s="25"/>
      <c r="BK250" s="25"/>
      <c r="BL250" s="25"/>
      <c r="BM250" s="25"/>
      <c r="BN250" s="25"/>
      <c r="BO250" s="25"/>
      <c r="BP250" s="25"/>
      <c r="BQ250" s="25"/>
      <c r="BR250" s="25"/>
      <c r="BS250" s="25"/>
      <c r="BT250" s="25"/>
      <c r="BU250" s="25"/>
      <c r="BV250" s="25"/>
      <c r="BW250" s="25"/>
      <c r="BX250" s="25"/>
      <c r="BY250" s="25"/>
      <c r="BZ250" s="25"/>
      <c r="CA250" s="25"/>
      <c r="CB250" s="25"/>
      <c r="CC250" s="25"/>
      <c r="CD250" s="25"/>
      <c r="CE250" s="25"/>
      <c r="CF250" s="25"/>
      <c r="CG250" s="25"/>
      <c r="CH250" s="25"/>
      <c r="CI250" s="25"/>
      <c r="CJ250" s="25"/>
      <c r="CK250" s="25"/>
      <c r="CL250" s="25"/>
      <c r="CM250" s="25"/>
      <c r="CN250" s="25"/>
      <c r="CO250" s="25"/>
      <c r="CP250" s="25"/>
      <c r="CQ250" s="25"/>
      <c r="CR250" s="25"/>
      <c r="CS250" s="25"/>
      <c r="CT250" s="25"/>
      <c r="CU250" s="25"/>
      <c r="CV250" s="25"/>
      <c r="CW250" s="25"/>
      <c r="CX250" s="25"/>
      <c r="CY250" s="25"/>
      <c r="CZ250" s="25"/>
      <c r="DA250" s="25"/>
      <c r="DB250" s="25"/>
      <c r="DC250" s="25"/>
      <c r="DD250" s="25"/>
      <c r="DE250" s="25"/>
      <c r="DF250" s="25"/>
      <c r="DG250" s="25"/>
      <c r="DH250" s="25"/>
      <c r="DI250" s="25"/>
      <c r="DJ250" s="25"/>
      <c r="DK250" s="25"/>
      <c r="DL250" s="25"/>
      <c r="DM250" s="25"/>
      <c r="DN250" s="25"/>
      <c r="DO250" s="25"/>
      <c r="DP250" s="25"/>
      <c r="DQ250" s="25"/>
      <c r="DR250" s="25"/>
      <c r="DS250" s="25"/>
      <c r="DT250" s="25"/>
      <c r="DU250" s="25"/>
      <c r="DV250" s="25"/>
      <c r="DW250" s="25"/>
      <c r="DX250" s="25"/>
      <c r="DY250" s="25"/>
      <c r="DZ250" s="25"/>
      <c r="EA250" s="25"/>
      <c r="EB250" s="25"/>
      <c r="EC250" s="25"/>
      <c r="ED250" s="25"/>
      <c r="EE250" s="25"/>
      <c r="EF250" s="25"/>
      <c r="EG250" s="25"/>
      <c r="EH250" s="25"/>
      <c r="EI250" s="25"/>
      <c r="EJ250" s="25"/>
      <c r="EK250" s="25"/>
      <c r="EL250" s="25"/>
      <c r="EM250" s="25"/>
      <c r="EN250" s="25"/>
      <c r="EO250" s="25"/>
      <c r="EP250" s="25"/>
      <c r="EQ250" s="25"/>
      <c r="ER250" s="25"/>
      <c r="ES250" s="25"/>
      <c r="ET250" s="25"/>
    </row>
  </sheetData>
  <phoneticPr fontId="0" type="noConversion"/>
  <pageMargins left="0.39" right="0.26" top="0.25" bottom="0.56999999999999995" header="0.23" footer="0.16"/>
  <pageSetup scale="92" orientation="landscape" cellComments="asDisplayed" r:id="rId1"/>
  <headerFooter alignWithMargins="0">
    <oddFooter>&amp;C&amp;A
&amp;Z&amp;F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AH30"/>
  <sheetViews>
    <sheetView workbookViewId="0">
      <selection activeCell="AJ36" sqref="AJ36"/>
    </sheetView>
  </sheetViews>
  <sheetFormatPr defaultRowHeight="13" outlineLevelCol="1" x14ac:dyDescent="0.3"/>
  <cols>
    <col min="1" max="1" width="4.81640625" style="13" bestFit="1" customWidth="1"/>
    <col min="2" max="2" width="6.7265625" hidden="1" customWidth="1" outlineLevel="1"/>
    <col min="3" max="6" width="5.1796875" hidden="1" customWidth="1" outlineLevel="1"/>
    <col min="7" max="7" width="6.7265625" hidden="1" customWidth="1" outlineLevel="1"/>
    <col min="8" max="9" width="5.1796875" hidden="1" customWidth="1" outlineLevel="1"/>
    <col min="10" max="10" width="6.7265625" hidden="1" customWidth="1" outlineLevel="1"/>
    <col min="11" max="11" width="5.1796875" hidden="1" customWidth="1" outlineLevel="1"/>
    <col min="12" max="22" width="9.26953125" hidden="1" customWidth="1" outlineLevel="1"/>
    <col min="23" max="23" width="9.26953125" bestFit="1" customWidth="1" collapsed="1"/>
    <col min="24" max="26" width="9.26953125" bestFit="1" customWidth="1"/>
    <col min="27" max="32" width="9.26953125" customWidth="1"/>
    <col min="33" max="33" width="11.54296875" bestFit="1" customWidth="1"/>
    <col min="34" max="34" width="10.54296875" bestFit="1" customWidth="1"/>
  </cols>
  <sheetData>
    <row r="2" spans="1:34" s="13" customFormat="1" x14ac:dyDescent="0.3">
      <c r="A2" s="13" t="s">
        <v>99</v>
      </c>
      <c r="B2" s="13">
        <v>1989</v>
      </c>
      <c r="C2" s="13">
        <v>1990</v>
      </c>
      <c r="D2" s="13">
        <v>1991</v>
      </c>
      <c r="E2" s="13">
        <v>1992</v>
      </c>
      <c r="F2" s="13">
        <v>1993</v>
      </c>
      <c r="G2" s="13">
        <v>1994</v>
      </c>
      <c r="H2" s="13">
        <v>1995</v>
      </c>
      <c r="I2" s="13">
        <v>1996</v>
      </c>
      <c r="J2" s="13">
        <v>1997</v>
      </c>
      <c r="K2" s="13">
        <v>1998</v>
      </c>
      <c r="L2" s="13">
        <v>1999</v>
      </c>
      <c r="M2" s="13">
        <v>2000</v>
      </c>
      <c r="N2" s="13">
        <v>2001</v>
      </c>
      <c r="O2" s="13">
        <v>2002</v>
      </c>
      <c r="P2" s="13">
        <v>2003</v>
      </c>
      <c r="Q2" s="13">
        <v>2004</v>
      </c>
      <c r="R2" s="13">
        <v>2005</v>
      </c>
      <c r="S2" s="13">
        <v>2006</v>
      </c>
      <c r="T2" s="13">
        <v>2007</v>
      </c>
      <c r="U2" s="13">
        <v>2008</v>
      </c>
      <c r="V2" s="13">
        <v>2009</v>
      </c>
      <c r="W2" s="13">
        <v>2010</v>
      </c>
      <c r="X2" s="13">
        <v>2011</v>
      </c>
      <c r="Y2" s="13">
        <v>2012</v>
      </c>
      <c r="Z2" s="13">
        <v>2013</v>
      </c>
      <c r="AA2" s="13">
        <v>2014</v>
      </c>
      <c r="AB2" s="13">
        <v>2015</v>
      </c>
      <c r="AC2" s="13">
        <v>2016</v>
      </c>
      <c r="AD2" s="13">
        <v>2017</v>
      </c>
      <c r="AE2" s="13">
        <v>2018</v>
      </c>
      <c r="AF2" s="13">
        <v>2019</v>
      </c>
      <c r="AG2" s="13" t="s">
        <v>113</v>
      </c>
      <c r="AH2" s="13" t="s">
        <v>114</v>
      </c>
    </row>
    <row r="3" spans="1:34" x14ac:dyDescent="0.3">
      <c r="A3" s="13" t="s">
        <v>100</v>
      </c>
      <c r="B3" s="175">
        <v>867.4</v>
      </c>
      <c r="C3" s="175">
        <v>775.7</v>
      </c>
      <c r="D3" s="175">
        <v>952.9</v>
      </c>
      <c r="E3" s="175">
        <v>953.6</v>
      </c>
      <c r="F3" s="175">
        <v>878.54</v>
      </c>
      <c r="G3" s="175">
        <v>1199.5</v>
      </c>
      <c r="H3" s="175">
        <v>831.4</v>
      </c>
      <c r="I3" s="175">
        <v>997.3</v>
      </c>
      <c r="J3" s="175">
        <v>1032.7</v>
      </c>
      <c r="K3" s="175">
        <v>853.1</v>
      </c>
      <c r="L3" s="175">
        <v>943.6</v>
      </c>
      <c r="M3" s="175">
        <v>972</v>
      </c>
      <c r="N3" s="175">
        <v>883.3</v>
      </c>
      <c r="O3" s="175">
        <v>799.5</v>
      </c>
      <c r="P3" s="175">
        <v>1040.4000000000001</v>
      </c>
      <c r="Q3" s="175">
        <v>1121.5999999999999</v>
      </c>
      <c r="R3" s="175">
        <v>1002.3</v>
      </c>
      <c r="S3" s="175">
        <v>774.4</v>
      </c>
      <c r="T3" s="175">
        <v>883.4</v>
      </c>
      <c r="U3" s="175">
        <v>803.7</v>
      </c>
      <c r="V3" s="175">
        <v>1046.0999999999999</v>
      </c>
      <c r="W3" s="175">
        <v>887.4</v>
      </c>
      <c r="X3" s="175">
        <v>984.2</v>
      </c>
      <c r="Y3" s="175">
        <v>855.4</v>
      </c>
      <c r="Z3" s="175">
        <v>892.80000000000007</v>
      </c>
      <c r="AA3" s="175">
        <f>'Purchased Power Model'!C63</f>
        <v>1024.8</v>
      </c>
      <c r="AB3" s="175">
        <f>+'Purchased Power Model'!C77</f>
        <v>1064.75</v>
      </c>
      <c r="AC3" s="175">
        <f>+'Purchased Power Model'!C89</f>
        <v>881.89999999999986</v>
      </c>
      <c r="AD3" s="175">
        <f>+'Purchased Power Model'!C101</f>
        <v>799.6</v>
      </c>
      <c r="AE3" s="175">
        <f>+'Purchased Power Model'!C113</f>
        <v>921.49999999999989</v>
      </c>
      <c r="AF3" s="175">
        <f>+'Purchased Power Model'!C125</f>
        <v>1042.2</v>
      </c>
      <c r="AG3" s="175">
        <f>SUM(W3:AF3)/10</f>
        <v>935.45500000000015</v>
      </c>
      <c r="AH3" s="175">
        <f>TREND(M3:AF3,$M$2:$AF$2,2015)</f>
        <v>936.43184210526317</v>
      </c>
    </row>
    <row r="4" spans="1:34" x14ac:dyDescent="0.3">
      <c r="A4" s="13" t="s">
        <v>101</v>
      </c>
      <c r="B4" s="175">
        <v>873</v>
      </c>
      <c r="C4" s="175">
        <v>792</v>
      </c>
      <c r="D4" s="175">
        <v>732.2</v>
      </c>
      <c r="E4" s="175">
        <v>861</v>
      </c>
      <c r="F4" s="175">
        <v>909.34</v>
      </c>
      <c r="G4" s="175">
        <v>891.8</v>
      </c>
      <c r="H4" s="175">
        <v>880.6</v>
      </c>
      <c r="I4" s="175">
        <v>874.1</v>
      </c>
      <c r="J4" s="175">
        <v>823.5</v>
      </c>
      <c r="K4" s="175">
        <v>618.29999999999995</v>
      </c>
      <c r="L4" s="175">
        <v>690.8</v>
      </c>
      <c r="M4" s="175">
        <v>758.8</v>
      </c>
      <c r="N4" s="175">
        <v>813.7</v>
      </c>
      <c r="O4" s="175">
        <v>770.7</v>
      </c>
      <c r="P4" s="175">
        <v>908.9</v>
      </c>
      <c r="Q4" s="175">
        <v>780.5</v>
      </c>
      <c r="R4" s="175">
        <v>736.3</v>
      </c>
      <c r="S4" s="175">
        <v>819.9</v>
      </c>
      <c r="T4" s="175">
        <v>909.1</v>
      </c>
      <c r="U4" s="175">
        <v>840.1</v>
      </c>
      <c r="V4" s="175">
        <v>773.1</v>
      </c>
      <c r="W4" s="175">
        <v>753</v>
      </c>
      <c r="X4" s="175">
        <v>798.2</v>
      </c>
      <c r="Y4" s="175">
        <v>717.6</v>
      </c>
      <c r="Z4" s="175">
        <v>801.40000000000009</v>
      </c>
      <c r="AA4" s="175">
        <f>'Purchased Power Model'!C64</f>
        <v>883.40000000000009</v>
      </c>
      <c r="AB4" s="175">
        <f>+'Purchased Power Model'!C78</f>
        <v>1041</v>
      </c>
      <c r="AC4" s="175">
        <f>+'Purchased Power Model'!C90</f>
        <v>856.69999999999993</v>
      </c>
      <c r="AD4" s="175">
        <f>+'Purchased Power Model'!C102</f>
        <v>729.8</v>
      </c>
      <c r="AE4" s="175">
        <f>+'Purchased Power Model'!C114</f>
        <v>756.09999999999991</v>
      </c>
      <c r="AF4" s="175">
        <f>+'Purchased Power Model'!C126</f>
        <v>811.39999999999986</v>
      </c>
      <c r="AG4" s="175">
        <f t="shared" ref="AG4:AG14" si="0">SUM(W4:AF4)/10</f>
        <v>814.86</v>
      </c>
      <c r="AH4" s="175">
        <f t="shared" ref="AH4:AH14" si="1">TREND(M4:AF4,$M$2:$AF$2,2015)</f>
        <v>819.95180451127817</v>
      </c>
    </row>
    <row r="5" spans="1:34" x14ac:dyDescent="0.3">
      <c r="A5" s="13" t="s">
        <v>102</v>
      </c>
      <c r="B5" s="175">
        <v>788.6</v>
      </c>
      <c r="C5" s="175">
        <v>659</v>
      </c>
      <c r="D5" s="175">
        <v>662.5</v>
      </c>
      <c r="E5" s="175">
        <v>815.9</v>
      </c>
      <c r="F5" s="175">
        <v>640.66</v>
      </c>
      <c r="G5" s="175">
        <v>688.1</v>
      </c>
      <c r="H5" s="175">
        <v>631.1</v>
      </c>
      <c r="I5" s="175">
        <v>774.6</v>
      </c>
      <c r="J5" s="175">
        <v>779.3</v>
      </c>
      <c r="K5" s="175">
        <v>656.9</v>
      </c>
      <c r="L5" s="175">
        <v>672.5</v>
      </c>
      <c r="M5" s="175">
        <v>570.79999999999995</v>
      </c>
      <c r="N5" s="175">
        <v>709.6</v>
      </c>
      <c r="O5" s="175">
        <v>756.4</v>
      </c>
      <c r="P5" s="175">
        <v>732.2</v>
      </c>
      <c r="Q5" s="175">
        <v>647.1</v>
      </c>
      <c r="R5" s="175">
        <v>739.1</v>
      </c>
      <c r="S5" s="175">
        <v>666.4</v>
      </c>
      <c r="T5" s="175">
        <v>691</v>
      </c>
      <c r="U5" s="175">
        <v>762.1</v>
      </c>
      <c r="V5" s="175">
        <v>671.1</v>
      </c>
      <c r="W5" s="175">
        <v>501.3</v>
      </c>
      <c r="X5" s="175">
        <v>742.1</v>
      </c>
      <c r="Y5" s="175">
        <v>510.4</v>
      </c>
      <c r="Z5" s="175">
        <v>685.19999999999982</v>
      </c>
      <c r="AA5" s="175">
        <f>'Purchased Power Model'!C65</f>
        <v>879.69999999999982</v>
      </c>
      <c r="AB5" s="175">
        <f>+'Purchased Power Model'!C79</f>
        <v>801.24999999999989</v>
      </c>
      <c r="AC5" s="175">
        <f>+'Purchased Power Model'!C91</f>
        <v>681.3</v>
      </c>
      <c r="AD5" s="175">
        <f>+'Purchased Power Model'!C103</f>
        <v>798.1</v>
      </c>
      <c r="AE5" s="175">
        <f>+'Purchased Power Model'!C115</f>
        <v>716.80000000000007</v>
      </c>
      <c r="AF5" s="175">
        <f>+'Purchased Power Model'!C127</f>
        <v>770.3</v>
      </c>
      <c r="AG5" s="175">
        <f t="shared" si="0"/>
        <v>708.6450000000001</v>
      </c>
      <c r="AH5" s="175">
        <f t="shared" si="1"/>
        <v>725.74860902255659</v>
      </c>
    </row>
    <row r="6" spans="1:34" x14ac:dyDescent="0.3">
      <c r="A6" s="13" t="s">
        <v>103</v>
      </c>
      <c r="B6" s="175">
        <v>507</v>
      </c>
      <c r="C6" s="175">
        <v>406</v>
      </c>
      <c r="D6" s="175">
        <v>362.4</v>
      </c>
      <c r="E6" s="175">
        <v>499.6</v>
      </c>
      <c r="F6" s="175">
        <v>408.28</v>
      </c>
      <c r="G6" s="175">
        <v>456.7</v>
      </c>
      <c r="H6" s="175">
        <v>524.29999999999995</v>
      </c>
      <c r="I6" s="175">
        <v>516.29999999999995</v>
      </c>
      <c r="J6" s="175">
        <v>455.4</v>
      </c>
      <c r="K6" s="175">
        <v>351.1</v>
      </c>
      <c r="L6" s="175">
        <v>383.7</v>
      </c>
      <c r="M6" s="175">
        <v>435.7</v>
      </c>
      <c r="N6" s="175">
        <v>387.2</v>
      </c>
      <c r="O6" s="175">
        <v>443.6</v>
      </c>
      <c r="P6" s="175">
        <v>513.9</v>
      </c>
      <c r="Q6" s="175">
        <v>454.7</v>
      </c>
      <c r="R6" s="175">
        <v>378.9</v>
      </c>
      <c r="S6" s="175">
        <v>368.2</v>
      </c>
      <c r="T6" s="175">
        <v>426.6</v>
      </c>
      <c r="U6" s="175">
        <v>345.5</v>
      </c>
      <c r="V6" s="175">
        <v>421.4</v>
      </c>
      <c r="W6" s="175">
        <v>314.5</v>
      </c>
      <c r="X6" s="175">
        <v>443.5</v>
      </c>
      <c r="Y6" s="175">
        <v>425.7</v>
      </c>
      <c r="Z6" s="175">
        <v>496.25000000000011</v>
      </c>
      <c r="AA6" s="175">
        <f>'Purchased Power Model'!C66</f>
        <v>482.99999999999994</v>
      </c>
      <c r="AB6" s="175">
        <f>+'Purchased Power Model'!C80</f>
        <v>438.8</v>
      </c>
      <c r="AC6" s="175">
        <f>+'Purchased Power Model'!C92</f>
        <v>545.4</v>
      </c>
      <c r="AD6" s="175">
        <f>+'Purchased Power Model'!C104</f>
        <v>397.20000000000005</v>
      </c>
      <c r="AE6" s="175">
        <f>+'Purchased Power Model'!C116</f>
        <v>583.90000000000009</v>
      </c>
      <c r="AF6" s="175">
        <f>+'Purchased Power Model'!C128</f>
        <v>483.50000000000006</v>
      </c>
      <c r="AG6" s="175">
        <f t="shared" si="0"/>
        <v>461.17500000000001</v>
      </c>
      <c r="AH6" s="175">
        <f t="shared" si="1"/>
        <v>463.38454887217995</v>
      </c>
    </row>
    <row r="7" spans="1:34" x14ac:dyDescent="0.3">
      <c r="A7" s="13" t="s">
        <v>104</v>
      </c>
      <c r="B7" s="175">
        <v>200.6</v>
      </c>
      <c r="C7" s="175">
        <v>255</v>
      </c>
      <c r="D7" s="175">
        <v>159</v>
      </c>
      <c r="E7" s="175">
        <v>233.7</v>
      </c>
      <c r="F7" s="175">
        <v>214.58</v>
      </c>
      <c r="G7" s="175">
        <v>240.8</v>
      </c>
      <c r="H7" s="175">
        <v>215</v>
      </c>
      <c r="I7" s="175">
        <v>268.8</v>
      </c>
      <c r="J7" s="175">
        <v>333.4</v>
      </c>
      <c r="K7" s="175">
        <v>83.2</v>
      </c>
      <c r="L7" s="175">
        <v>135.9</v>
      </c>
      <c r="M7" s="175">
        <v>201.1</v>
      </c>
      <c r="N7" s="175">
        <v>155.5</v>
      </c>
      <c r="O7" s="175">
        <v>304</v>
      </c>
      <c r="P7" s="175">
        <v>208.3</v>
      </c>
      <c r="Q7" s="175">
        <v>257.5</v>
      </c>
      <c r="R7" s="175">
        <v>214.9</v>
      </c>
      <c r="S7" s="175">
        <v>162.80000000000001</v>
      </c>
      <c r="T7" s="175">
        <v>189</v>
      </c>
      <c r="U7" s="175">
        <v>261</v>
      </c>
      <c r="V7" s="175">
        <v>257.10000000000002</v>
      </c>
      <c r="W7" s="175">
        <v>147.69999999999999</v>
      </c>
      <c r="X7" s="175">
        <v>175.1</v>
      </c>
      <c r="Y7" s="175">
        <v>138.19999999999999</v>
      </c>
      <c r="Z7" s="175">
        <v>198.95</v>
      </c>
      <c r="AA7" s="175">
        <f>'Purchased Power Model'!C67</f>
        <v>199.79999999999998</v>
      </c>
      <c r="AB7" s="175">
        <f>+'Purchased Power Model'!C81</f>
        <v>191.1</v>
      </c>
      <c r="AC7" s="175">
        <f>+'Purchased Power Model'!C93</f>
        <v>206.6</v>
      </c>
      <c r="AD7" s="175">
        <f>+'Purchased Power Model'!C105</f>
        <v>255.70000000000002</v>
      </c>
      <c r="AE7" s="175">
        <f>+'Purchased Power Model'!C117</f>
        <v>196.00000000000009</v>
      </c>
      <c r="AF7" s="175">
        <f>+'Purchased Power Model'!C129</f>
        <v>288.40000000000003</v>
      </c>
      <c r="AG7" s="175">
        <f t="shared" si="0"/>
        <v>199.755</v>
      </c>
      <c r="AH7" s="175">
        <f t="shared" si="1"/>
        <v>211.95206766917278</v>
      </c>
    </row>
    <row r="8" spans="1:34" x14ac:dyDescent="0.3">
      <c r="A8" s="13" t="s">
        <v>105</v>
      </c>
      <c r="B8" s="175">
        <v>87.1</v>
      </c>
      <c r="C8" s="175">
        <v>86.3</v>
      </c>
      <c r="D8" s="175">
        <v>44.1</v>
      </c>
      <c r="E8" s="175">
        <v>119.7</v>
      </c>
      <c r="F8" s="175">
        <v>85.4</v>
      </c>
      <c r="G8" s="175">
        <v>62</v>
      </c>
      <c r="H8" s="175">
        <v>54.2</v>
      </c>
      <c r="I8" s="175">
        <v>47.1</v>
      </c>
      <c r="J8" s="175">
        <v>30.7</v>
      </c>
      <c r="K8" s="175">
        <v>88.7</v>
      </c>
      <c r="L8" s="175">
        <v>50.6</v>
      </c>
      <c r="M8" s="175">
        <v>104.1</v>
      </c>
      <c r="N8" s="175">
        <v>59.5</v>
      </c>
      <c r="O8" s="175">
        <v>83.6</v>
      </c>
      <c r="P8" s="175">
        <v>64.5</v>
      </c>
      <c r="Q8" s="175">
        <v>104</v>
      </c>
      <c r="R8" s="175">
        <v>32</v>
      </c>
      <c r="S8" s="175">
        <v>53</v>
      </c>
      <c r="T8" s="175">
        <v>71.099999999999994</v>
      </c>
      <c r="U8" s="175">
        <v>53.8</v>
      </c>
      <c r="V8" s="175">
        <v>85.2</v>
      </c>
      <c r="W8" s="175">
        <v>71.2</v>
      </c>
      <c r="X8" s="175">
        <v>65.7</v>
      </c>
      <c r="Y8" s="175">
        <v>50.5</v>
      </c>
      <c r="Z8" s="175">
        <v>102.54999999999998</v>
      </c>
      <c r="AA8" s="175">
        <f>'Purchased Power Model'!C68</f>
        <v>53.399999999999991</v>
      </c>
      <c r="AB8" s="175">
        <f>+'Purchased Power Model'!C82</f>
        <v>100.6</v>
      </c>
      <c r="AC8" s="175">
        <f>+'Purchased Power Model'!C94</f>
        <v>89.699999999999989</v>
      </c>
      <c r="AD8" s="175">
        <f>+'Purchased Power Model'!C106</f>
        <v>86</v>
      </c>
      <c r="AE8" s="175">
        <f>+'Purchased Power Model'!C118</f>
        <v>77.800000000000011</v>
      </c>
      <c r="AF8" s="175">
        <f>+'Purchased Power Model'!C130</f>
        <v>92.199999999999989</v>
      </c>
      <c r="AG8" s="175">
        <f t="shared" si="0"/>
        <v>78.964999999999989</v>
      </c>
      <c r="AH8" s="175">
        <f t="shared" si="1"/>
        <v>78.61755639097737</v>
      </c>
    </row>
    <row r="9" spans="1:34" x14ac:dyDescent="0.3">
      <c r="A9" s="13" t="s">
        <v>106</v>
      </c>
      <c r="B9" s="175">
        <v>18.3</v>
      </c>
      <c r="C9" s="175">
        <v>30.2</v>
      </c>
      <c r="D9" s="175">
        <v>19.5</v>
      </c>
      <c r="E9" s="175">
        <v>84.9</v>
      </c>
      <c r="F9" s="175">
        <v>10.75</v>
      </c>
      <c r="G9" s="175">
        <v>16.100000000000001</v>
      </c>
      <c r="H9" s="175">
        <v>30.1</v>
      </c>
      <c r="I9" s="175">
        <v>34.9</v>
      </c>
      <c r="J9" s="175">
        <v>35.9</v>
      </c>
      <c r="K9" s="175">
        <v>23.3</v>
      </c>
      <c r="L9" s="175">
        <v>17.899999999999999</v>
      </c>
      <c r="M9" s="175">
        <v>48.4</v>
      </c>
      <c r="N9" s="175">
        <v>53.1</v>
      </c>
      <c r="O9" s="175">
        <v>18.2</v>
      </c>
      <c r="P9" s="175">
        <v>16.100000000000001</v>
      </c>
      <c r="Q9" s="175">
        <v>25.1</v>
      </c>
      <c r="R9" s="175">
        <v>13.7</v>
      </c>
      <c r="S9" s="175">
        <v>9.4</v>
      </c>
      <c r="T9" s="175">
        <v>34.200000000000003</v>
      </c>
      <c r="U9" s="175">
        <v>11.5</v>
      </c>
      <c r="V9" s="175">
        <v>46.3</v>
      </c>
      <c r="W9" s="175">
        <v>11</v>
      </c>
      <c r="X9" s="175">
        <v>2.9</v>
      </c>
      <c r="Y9" s="175">
        <v>2.2000000000000002</v>
      </c>
      <c r="Z9" s="175">
        <v>39.149999999999984</v>
      </c>
      <c r="AA9" s="175">
        <f>'Purchased Power Model'!C69</f>
        <v>57.800000000000004</v>
      </c>
      <c r="AB9" s="175">
        <f>+'Purchased Power Model'!C83</f>
        <v>37.100000000000009</v>
      </c>
      <c r="AC9" s="175">
        <f>+'Purchased Power Model'!C95</f>
        <v>28.5</v>
      </c>
      <c r="AD9" s="175">
        <f>+'Purchased Power Model'!C107</f>
        <v>29.6</v>
      </c>
      <c r="AE9" s="175">
        <f>+'Purchased Power Model'!C119</f>
        <v>7.8</v>
      </c>
      <c r="AF9" s="175">
        <f>+'Purchased Power Model'!C131</f>
        <v>7</v>
      </c>
      <c r="AG9" s="175">
        <f t="shared" si="0"/>
        <v>22.305</v>
      </c>
      <c r="AH9" s="175">
        <f t="shared" si="1"/>
        <v>22.022819548872349</v>
      </c>
    </row>
    <row r="10" spans="1:34" x14ac:dyDescent="0.3">
      <c r="A10" s="13" t="s">
        <v>107</v>
      </c>
      <c r="B10" s="175">
        <v>61.9</v>
      </c>
      <c r="C10" s="175">
        <v>39.9</v>
      </c>
      <c r="D10" s="175">
        <v>37.200000000000003</v>
      </c>
      <c r="E10" s="175">
        <v>84.2</v>
      </c>
      <c r="F10" s="175">
        <v>21.94</v>
      </c>
      <c r="G10" s="175">
        <v>80.900000000000006</v>
      </c>
      <c r="H10" s="175">
        <v>30.1</v>
      </c>
      <c r="I10" s="175">
        <v>31.3</v>
      </c>
      <c r="J10" s="175">
        <v>77.400000000000006</v>
      </c>
      <c r="K10" s="175">
        <v>22.6</v>
      </c>
      <c r="L10" s="175">
        <v>56.3</v>
      </c>
      <c r="M10" s="175">
        <v>51.5</v>
      </c>
      <c r="N10" s="175">
        <v>17.899999999999999</v>
      </c>
      <c r="O10" s="175">
        <v>22</v>
      </c>
      <c r="P10" s="175">
        <v>32.9</v>
      </c>
      <c r="Q10" s="175">
        <v>75.599999999999994</v>
      </c>
      <c r="R10" s="175">
        <v>18.8</v>
      </c>
      <c r="S10" s="175">
        <v>50.8</v>
      </c>
      <c r="T10" s="175">
        <v>36.799999999999997</v>
      </c>
      <c r="U10" s="175">
        <v>35.700000000000003</v>
      </c>
      <c r="V10" s="175">
        <v>60.9</v>
      </c>
      <c r="W10" s="175">
        <v>29.4</v>
      </c>
      <c r="X10" s="175">
        <v>16.7</v>
      </c>
      <c r="Y10" s="175">
        <v>27</v>
      </c>
      <c r="Z10" s="175">
        <v>49.000000000000014</v>
      </c>
      <c r="AA10" s="175">
        <f>'Purchased Power Model'!C70</f>
        <v>60</v>
      </c>
      <c r="AB10" s="175">
        <f>+'Purchased Power Model'!C84</f>
        <v>29.9</v>
      </c>
      <c r="AC10" s="175">
        <f>+'Purchased Power Model'!C96</f>
        <v>13.299999999999999</v>
      </c>
      <c r="AD10" s="175">
        <f>+'Purchased Power Model'!C108</f>
        <v>65.399999999999991</v>
      </c>
      <c r="AE10" s="175">
        <f>+'Purchased Power Model'!C120</f>
        <v>16</v>
      </c>
      <c r="AF10" s="175">
        <f>+'Purchased Power Model'!C132</f>
        <v>42.699999999999996</v>
      </c>
      <c r="AG10" s="175">
        <f t="shared" si="0"/>
        <v>34.940000000000005</v>
      </c>
      <c r="AH10" s="175">
        <f t="shared" si="1"/>
        <v>37.262255639097702</v>
      </c>
    </row>
    <row r="11" spans="1:34" x14ac:dyDescent="0.3">
      <c r="A11" s="13" t="s">
        <v>108</v>
      </c>
      <c r="B11" s="175">
        <v>166.9</v>
      </c>
      <c r="C11" s="175">
        <v>200.2</v>
      </c>
      <c r="D11" s="175">
        <v>210.5</v>
      </c>
      <c r="E11" s="175">
        <v>183.44</v>
      </c>
      <c r="F11" s="175">
        <v>238.96</v>
      </c>
      <c r="G11" s="175">
        <v>139.69999999999999</v>
      </c>
      <c r="H11" s="175">
        <v>222.6</v>
      </c>
      <c r="I11" s="175">
        <v>126.5</v>
      </c>
      <c r="J11" s="175">
        <v>167.9</v>
      </c>
      <c r="K11" s="175">
        <v>140.1</v>
      </c>
      <c r="L11" s="175">
        <v>114.9</v>
      </c>
      <c r="M11" s="175">
        <v>195.9</v>
      </c>
      <c r="N11" s="175">
        <v>161.19999999999999</v>
      </c>
      <c r="O11" s="175">
        <v>89.1</v>
      </c>
      <c r="P11" s="175">
        <v>111.8</v>
      </c>
      <c r="Q11" s="175">
        <v>103.5</v>
      </c>
      <c r="R11" s="175">
        <v>85.4</v>
      </c>
      <c r="S11" s="175">
        <v>183.8</v>
      </c>
      <c r="T11" s="175">
        <v>110</v>
      </c>
      <c r="U11" s="175">
        <v>151</v>
      </c>
      <c r="V11" s="175">
        <v>126.2</v>
      </c>
      <c r="W11" s="175">
        <v>177.3</v>
      </c>
      <c r="X11" s="175">
        <v>116.4</v>
      </c>
      <c r="Y11" s="175">
        <v>163</v>
      </c>
      <c r="Z11" s="175">
        <v>181.75</v>
      </c>
      <c r="AA11" s="175">
        <f>'Purchased Power Model'!C71</f>
        <v>157</v>
      </c>
      <c r="AB11" s="175">
        <f>+'Purchased Power Model'!C85</f>
        <v>72.45</v>
      </c>
      <c r="AC11" s="175">
        <f>+'Purchased Power Model'!C97</f>
        <v>102.10000000000001</v>
      </c>
      <c r="AD11" s="175">
        <f>+'Purchased Power Model'!C109</f>
        <v>120.60000000000001</v>
      </c>
      <c r="AE11" s="175">
        <f>+'Purchased Power Model'!C121</f>
        <v>149.54999999999998</v>
      </c>
      <c r="AF11" s="175">
        <f>+'Purchased Power Model'!C133</f>
        <v>154.89999999999998</v>
      </c>
      <c r="AG11" s="175">
        <f t="shared" si="0"/>
        <v>139.50500000000002</v>
      </c>
      <c r="AH11" s="175">
        <f t="shared" si="1"/>
        <v>135.11052631578951</v>
      </c>
    </row>
    <row r="12" spans="1:34" x14ac:dyDescent="0.3">
      <c r="A12" s="13" t="s">
        <v>109</v>
      </c>
      <c r="B12" s="175">
        <v>340.2</v>
      </c>
      <c r="C12" s="175">
        <v>380.6</v>
      </c>
      <c r="D12" s="175">
        <v>362.3</v>
      </c>
      <c r="E12" s="175">
        <v>427.7</v>
      </c>
      <c r="F12" s="175">
        <v>490.16</v>
      </c>
      <c r="G12" s="175">
        <v>310.39999999999998</v>
      </c>
      <c r="H12" s="175">
        <v>316.5</v>
      </c>
      <c r="I12" s="175">
        <v>373.2</v>
      </c>
      <c r="J12" s="175">
        <v>359.8</v>
      </c>
      <c r="K12" s="175">
        <v>347.6</v>
      </c>
      <c r="L12" s="175">
        <v>396.7</v>
      </c>
      <c r="M12" s="175">
        <v>336.8</v>
      </c>
      <c r="N12" s="175">
        <v>341.5</v>
      </c>
      <c r="O12" s="175">
        <v>438.3</v>
      </c>
      <c r="P12" s="175">
        <v>376.6</v>
      </c>
      <c r="Q12" s="175">
        <v>326.3</v>
      </c>
      <c r="R12" s="175">
        <v>300</v>
      </c>
      <c r="S12" s="175">
        <v>401.4</v>
      </c>
      <c r="T12" s="175">
        <v>262</v>
      </c>
      <c r="U12" s="175">
        <v>381.4</v>
      </c>
      <c r="V12" s="175">
        <v>409.4</v>
      </c>
      <c r="W12" s="175">
        <v>369.8</v>
      </c>
      <c r="X12" s="175">
        <v>295.3</v>
      </c>
      <c r="Y12" s="175">
        <v>331</v>
      </c>
      <c r="Z12" s="175">
        <v>321.95</v>
      </c>
      <c r="AA12" s="175">
        <f>'Purchased Power Model'!C72</f>
        <v>341.59999999999997</v>
      </c>
      <c r="AB12" s="175">
        <f>+'Purchased Power Model'!C86</f>
        <v>380.39999999999992</v>
      </c>
      <c r="AC12" s="175">
        <f>+'Purchased Power Model'!C98</f>
        <v>311.00000000000006</v>
      </c>
      <c r="AD12" s="175">
        <f>+'Purchased Power Model'!C110</f>
        <v>252.39999999999998</v>
      </c>
      <c r="AE12" s="175">
        <f>+'Purchased Power Model'!C122</f>
        <v>432</v>
      </c>
      <c r="AF12" s="175">
        <f>+'Purchased Power Model'!C134</f>
        <v>348.25000000000006</v>
      </c>
      <c r="AG12" s="175">
        <f t="shared" si="0"/>
        <v>338.37</v>
      </c>
      <c r="AH12" s="175">
        <f t="shared" si="1"/>
        <v>341.97796992481199</v>
      </c>
    </row>
    <row r="13" spans="1:34" x14ac:dyDescent="0.3">
      <c r="A13" s="13" t="s">
        <v>110</v>
      </c>
      <c r="B13" s="175">
        <v>683</v>
      </c>
      <c r="C13" s="175">
        <v>541.9</v>
      </c>
      <c r="D13" s="175">
        <v>577</v>
      </c>
      <c r="E13" s="175">
        <v>590.70000000000005</v>
      </c>
      <c r="F13" s="175">
        <v>648.29</v>
      </c>
      <c r="G13" s="175">
        <v>509</v>
      </c>
      <c r="H13" s="175">
        <v>700.4</v>
      </c>
      <c r="I13" s="175">
        <v>645.9</v>
      </c>
      <c r="J13" s="175">
        <v>598</v>
      </c>
      <c r="K13" s="175">
        <v>527</v>
      </c>
      <c r="L13" s="175">
        <v>504.5</v>
      </c>
      <c r="M13" s="175">
        <v>552.70000000000005</v>
      </c>
      <c r="N13" s="175">
        <v>457.5</v>
      </c>
      <c r="O13" s="175">
        <v>627.70000000000005</v>
      </c>
      <c r="P13" s="175">
        <v>523.70000000000005</v>
      </c>
      <c r="Q13" s="175">
        <v>537.20000000000005</v>
      </c>
      <c r="R13" s="175">
        <v>558.20000000000005</v>
      </c>
      <c r="S13" s="175">
        <v>496.8</v>
      </c>
      <c r="T13" s="175">
        <v>588.70000000000005</v>
      </c>
      <c r="U13" s="175">
        <v>559.4</v>
      </c>
      <c r="V13" s="175">
        <v>453.8</v>
      </c>
      <c r="W13" s="175">
        <v>526.1</v>
      </c>
      <c r="X13" s="175">
        <v>464.8</v>
      </c>
      <c r="Y13" s="175">
        <v>549.70000000000005</v>
      </c>
      <c r="Z13" s="175">
        <v>625.75</v>
      </c>
      <c r="AA13" s="175">
        <f>'Purchased Power Model'!C73</f>
        <v>642.99999999999989</v>
      </c>
      <c r="AB13" s="175">
        <f>+'Purchased Power Model'!C87</f>
        <v>435.75</v>
      </c>
      <c r="AC13" s="175">
        <f>+'Purchased Power Model'!C99</f>
        <v>471.59999999999997</v>
      </c>
      <c r="AD13" s="175">
        <f>+'Purchased Power Model'!C111</f>
        <v>620.75000000000011</v>
      </c>
      <c r="AE13" s="175">
        <f>+'Purchased Power Model'!C123</f>
        <v>671.6</v>
      </c>
      <c r="AF13" s="175">
        <f>+'Purchased Power Model'!C135</f>
        <v>677.9000000000002</v>
      </c>
      <c r="AG13" s="175">
        <f t="shared" si="0"/>
        <v>568.69500000000016</v>
      </c>
      <c r="AH13" s="175">
        <f t="shared" si="1"/>
        <v>574.3820676691721</v>
      </c>
    </row>
    <row r="14" spans="1:34" x14ac:dyDescent="0.3">
      <c r="A14" s="13" t="s">
        <v>111</v>
      </c>
      <c r="B14" s="175">
        <v>1110.5</v>
      </c>
      <c r="C14" s="175">
        <v>797.7</v>
      </c>
      <c r="D14" s="175">
        <v>847.6</v>
      </c>
      <c r="E14" s="175">
        <v>563.1</v>
      </c>
      <c r="F14" s="175">
        <v>823.9</v>
      </c>
      <c r="G14" s="175">
        <v>710.3</v>
      </c>
      <c r="H14" s="175">
        <v>934.6</v>
      </c>
      <c r="I14" s="175">
        <v>724.2</v>
      </c>
      <c r="J14" s="175">
        <v>790.4</v>
      </c>
      <c r="K14" s="175">
        <v>723.6</v>
      </c>
      <c r="L14" s="175">
        <v>759</v>
      </c>
      <c r="M14" s="175">
        <v>977.2</v>
      </c>
      <c r="N14" s="175">
        <v>656.1</v>
      </c>
      <c r="O14" s="175">
        <v>771.5</v>
      </c>
      <c r="P14" s="175">
        <v>762.2</v>
      </c>
      <c r="Q14" s="175">
        <v>896.5</v>
      </c>
      <c r="R14" s="175">
        <v>831.8</v>
      </c>
      <c r="S14" s="175">
        <v>674.9</v>
      </c>
      <c r="T14" s="175">
        <v>833.8</v>
      </c>
      <c r="U14" s="175">
        <v>869.7</v>
      </c>
      <c r="V14" s="175">
        <v>824.4</v>
      </c>
      <c r="W14" s="175">
        <v>812.9</v>
      </c>
      <c r="X14" s="175">
        <v>751.1</v>
      </c>
      <c r="Y14" s="175">
        <v>770.6</v>
      </c>
      <c r="Z14" s="175">
        <v>964.3</v>
      </c>
      <c r="AA14" s="175">
        <f>'Purchased Power Model'!C74</f>
        <v>710.49999999999989</v>
      </c>
      <c r="AB14" s="175">
        <f>+'Purchased Power Model'!C88</f>
        <v>564.95000000000005</v>
      </c>
      <c r="AC14" s="175">
        <f>+'Purchased Power Model'!C100</f>
        <v>783.30000000000018</v>
      </c>
      <c r="AD14" s="175">
        <f>+'Purchased Power Model'!C112</f>
        <v>970.90000000000009</v>
      </c>
      <c r="AE14" s="175">
        <f>+'Purchased Power Model'!C124</f>
        <v>796.5500000000003</v>
      </c>
      <c r="AF14" s="175">
        <f>+'Purchased Power Model'!C136</f>
        <v>775.29999999999984</v>
      </c>
      <c r="AG14" s="175">
        <f t="shared" si="0"/>
        <v>790.04</v>
      </c>
      <c r="AH14" s="175">
        <f t="shared" si="1"/>
        <v>793.39364661654099</v>
      </c>
    </row>
    <row r="15" spans="1:34" x14ac:dyDescent="0.3">
      <c r="B15" s="175"/>
      <c r="C15" s="175"/>
      <c r="D15" s="175"/>
      <c r="E15" s="175"/>
      <c r="F15" s="175"/>
      <c r="G15" s="175"/>
      <c r="H15" s="175"/>
      <c r="I15" s="175"/>
      <c r="J15" s="175"/>
      <c r="K15" s="175"/>
      <c r="L15" s="202">
        <f t="shared" ref="L15:Z15" si="2">SUM(L3:L14)</f>
        <v>4726.3999999999996</v>
      </c>
      <c r="M15" s="202">
        <f t="shared" si="2"/>
        <v>5205</v>
      </c>
      <c r="N15" s="202">
        <f t="shared" si="2"/>
        <v>4696.0999999999995</v>
      </c>
      <c r="O15" s="202">
        <f t="shared" si="2"/>
        <v>5124.5999999999995</v>
      </c>
      <c r="P15" s="202">
        <f t="shared" si="2"/>
        <v>5291.5</v>
      </c>
      <c r="Q15" s="202">
        <f t="shared" si="2"/>
        <v>5329.5999999999995</v>
      </c>
      <c r="R15" s="202">
        <f t="shared" si="2"/>
        <v>4911.4000000000005</v>
      </c>
      <c r="S15" s="202">
        <f t="shared" si="2"/>
        <v>4661.8</v>
      </c>
      <c r="T15" s="202">
        <f t="shared" si="2"/>
        <v>5035.7</v>
      </c>
      <c r="U15" s="202">
        <f t="shared" si="2"/>
        <v>5074.8999999999996</v>
      </c>
      <c r="V15" s="202">
        <f t="shared" si="2"/>
        <v>5174.9999999999991</v>
      </c>
      <c r="W15" s="202">
        <f t="shared" si="2"/>
        <v>4601.6000000000004</v>
      </c>
      <c r="X15" s="202">
        <f t="shared" si="2"/>
        <v>4856</v>
      </c>
      <c r="Y15" s="202">
        <f t="shared" si="2"/>
        <v>4541.3</v>
      </c>
      <c r="Z15" s="202">
        <f t="shared" si="2"/>
        <v>5359.05</v>
      </c>
      <c r="AA15" s="202">
        <f t="shared" ref="AA15:AH15" si="3">SUM(AA3:AA14)</f>
        <v>5494</v>
      </c>
      <c r="AB15" s="202">
        <f t="shared" si="3"/>
        <v>5158.0499999999993</v>
      </c>
      <c r="AC15" s="202">
        <f t="shared" si="3"/>
        <v>4971.3999999999996</v>
      </c>
      <c r="AD15" s="202">
        <f t="shared" si="3"/>
        <v>5126.0499999999993</v>
      </c>
      <c r="AE15" s="202">
        <f t="shared" si="3"/>
        <v>5325.6000000000013</v>
      </c>
      <c r="AF15" s="202">
        <f t="shared" si="3"/>
        <v>5494.05</v>
      </c>
      <c r="AG15" s="200">
        <f t="shared" si="3"/>
        <v>5092.71</v>
      </c>
      <c r="AH15" s="200">
        <f t="shared" si="3"/>
        <v>5140.2357142857127</v>
      </c>
    </row>
    <row r="16" spans="1:34" x14ac:dyDescent="0.3">
      <c r="B16" s="175"/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175"/>
      <c r="Y16" s="175"/>
      <c r="Z16" s="175"/>
      <c r="AA16" s="175"/>
      <c r="AB16" s="175"/>
      <c r="AC16" s="175"/>
      <c r="AD16" s="175"/>
      <c r="AE16" s="175"/>
      <c r="AF16" s="175"/>
      <c r="AG16" s="175"/>
      <c r="AH16" s="175"/>
    </row>
    <row r="17" spans="1:34" x14ac:dyDescent="0.3">
      <c r="A17" s="13" t="s">
        <v>112</v>
      </c>
      <c r="B17" s="175"/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  <c r="V17" s="175"/>
      <c r="W17" s="175"/>
      <c r="X17" s="175"/>
      <c r="Y17" s="175"/>
      <c r="Z17" s="175"/>
      <c r="AA17" s="175"/>
      <c r="AB17" s="175"/>
      <c r="AC17" s="175"/>
      <c r="AD17" s="175"/>
      <c r="AE17" s="175"/>
      <c r="AF17" s="175"/>
      <c r="AG17" s="175"/>
      <c r="AH17" s="175"/>
    </row>
    <row r="18" spans="1:34" x14ac:dyDescent="0.3">
      <c r="A18" s="13" t="s">
        <v>100</v>
      </c>
      <c r="B18" s="175">
        <v>0</v>
      </c>
      <c r="C18" s="175">
        <v>0</v>
      </c>
      <c r="D18" s="175">
        <v>0</v>
      </c>
      <c r="E18" s="175">
        <v>0</v>
      </c>
      <c r="F18" s="175">
        <v>0</v>
      </c>
      <c r="G18" s="175">
        <v>0</v>
      </c>
      <c r="H18" s="175">
        <v>0</v>
      </c>
      <c r="I18" s="175">
        <v>0</v>
      </c>
      <c r="J18" s="175">
        <v>0</v>
      </c>
      <c r="K18" s="175">
        <v>0</v>
      </c>
      <c r="L18" s="175">
        <v>0</v>
      </c>
      <c r="M18" s="175">
        <v>0</v>
      </c>
      <c r="N18" s="175">
        <v>0</v>
      </c>
      <c r="O18" s="175">
        <v>0</v>
      </c>
      <c r="P18" s="175">
        <v>0</v>
      </c>
      <c r="Q18" s="175">
        <v>0</v>
      </c>
      <c r="R18" s="175">
        <v>0</v>
      </c>
      <c r="S18" s="175">
        <v>0</v>
      </c>
      <c r="T18" s="175">
        <v>0</v>
      </c>
      <c r="U18" s="175">
        <v>0</v>
      </c>
      <c r="V18" s="175">
        <v>0</v>
      </c>
      <c r="W18" s="175">
        <v>0</v>
      </c>
      <c r="X18" s="175">
        <v>0</v>
      </c>
      <c r="Y18" s="175">
        <v>0</v>
      </c>
      <c r="Z18" s="175">
        <v>0</v>
      </c>
      <c r="AA18" s="175">
        <f>'Purchased Power Model'!D63</f>
        <v>0</v>
      </c>
      <c r="AB18" s="175">
        <f>+'Purchased Power Model'!D77</f>
        <v>0</v>
      </c>
      <c r="AC18" s="175">
        <f>+'Purchased Power Model'!D89</f>
        <v>0</v>
      </c>
      <c r="AD18" s="175">
        <f>+'Purchased Power Model'!D101</f>
        <v>0</v>
      </c>
      <c r="AE18" s="175">
        <f>+'Purchased Power Model'!D113</f>
        <v>0</v>
      </c>
      <c r="AF18" s="175">
        <f>+'Purchased Power Model'!D125</f>
        <v>0</v>
      </c>
      <c r="AG18" s="175">
        <f>SUM(W18:AF18)/10</f>
        <v>0</v>
      </c>
      <c r="AH18" s="175">
        <f>TREND(M18:AF18,$M$2:$AF$2,2015)</f>
        <v>0</v>
      </c>
    </row>
    <row r="19" spans="1:34" x14ac:dyDescent="0.3">
      <c r="A19" s="13" t="s">
        <v>101</v>
      </c>
      <c r="B19" s="175">
        <v>0</v>
      </c>
      <c r="C19" s="175">
        <v>0</v>
      </c>
      <c r="D19" s="175">
        <v>0</v>
      </c>
      <c r="E19" s="175">
        <v>0</v>
      </c>
      <c r="F19" s="175">
        <v>0</v>
      </c>
      <c r="G19" s="175">
        <v>0</v>
      </c>
      <c r="H19" s="175">
        <v>0</v>
      </c>
      <c r="I19" s="175">
        <v>0</v>
      </c>
      <c r="J19" s="175">
        <v>0</v>
      </c>
      <c r="K19" s="175">
        <v>0</v>
      </c>
      <c r="L19" s="175">
        <v>0</v>
      </c>
      <c r="M19" s="175">
        <v>0</v>
      </c>
      <c r="N19" s="175">
        <v>0</v>
      </c>
      <c r="O19" s="175">
        <v>0</v>
      </c>
      <c r="P19" s="175">
        <v>0</v>
      </c>
      <c r="Q19" s="175">
        <v>0</v>
      </c>
      <c r="R19" s="175">
        <v>0</v>
      </c>
      <c r="S19" s="175">
        <v>0</v>
      </c>
      <c r="T19" s="175">
        <v>0</v>
      </c>
      <c r="U19" s="175">
        <v>0</v>
      </c>
      <c r="V19" s="175">
        <v>0</v>
      </c>
      <c r="W19" s="175">
        <v>0</v>
      </c>
      <c r="X19" s="175">
        <v>0</v>
      </c>
      <c r="Y19" s="175">
        <v>0</v>
      </c>
      <c r="Z19" s="175">
        <v>0</v>
      </c>
      <c r="AA19" s="175">
        <f>'Purchased Power Model'!D64</f>
        <v>0</v>
      </c>
      <c r="AB19" s="175">
        <f>+'Purchased Power Model'!D78</f>
        <v>0</v>
      </c>
      <c r="AC19" s="175">
        <f>+'Purchased Power Model'!D90</f>
        <v>0</v>
      </c>
      <c r="AD19" s="175">
        <f>+'Purchased Power Model'!D102</f>
        <v>0</v>
      </c>
      <c r="AE19" s="175">
        <f>+'Purchased Power Model'!D114</f>
        <v>0</v>
      </c>
      <c r="AF19" s="175">
        <f>+'Purchased Power Model'!D126</f>
        <v>0</v>
      </c>
      <c r="AG19" s="175">
        <f t="shared" ref="AG19:AG29" si="4">SUM(W19:AF19)/10</f>
        <v>0</v>
      </c>
      <c r="AH19" s="175">
        <f t="shared" ref="AH19:AH29" si="5">TREND(M19:AF19,$M$2:$AF$2,2015)</f>
        <v>0</v>
      </c>
    </row>
    <row r="20" spans="1:34" x14ac:dyDescent="0.3">
      <c r="A20" s="13" t="s">
        <v>102</v>
      </c>
      <c r="B20" s="175">
        <v>0</v>
      </c>
      <c r="C20" s="175">
        <v>0</v>
      </c>
      <c r="D20" s="175">
        <v>0</v>
      </c>
      <c r="E20" s="175">
        <v>0</v>
      </c>
      <c r="F20" s="175">
        <v>0</v>
      </c>
      <c r="G20" s="175">
        <v>0</v>
      </c>
      <c r="H20" s="175">
        <v>0</v>
      </c>
      <c r="I20" s="175">
        <v>0</v>
      </c>
      <c r="J20" s="175">
        <v>0</v>
      </c>
      <c r="K20" s="175">
        <v>0</v>
      </c>
      <c r="L20" s="175">
        <v>0</v>
      </c>
      <c r="M20" s="175">
        <v>0</v>
      </c>
      <c r="N20" s="175">
        <v>0</v>
      </c>
      <c r="O20" s="175">
        <v>0</v>
      </c>
      <c r="P20" s="175">
        <v>0</v>
      </c>
      <c r="Q20" s="175">
        <v>0</v>
      </c>
      <c r="R20" s="175">
        <v>0</v>
      </c>
      <c r="S20" s="175">
        <v>0</v>
      </c>
      <c r="T20" s="175">
        <v>0</v>
      </c>
      <c r="U20" s="175">
        <v>0</v>
      </c>
      <c r="V20" s="175">
        <v>0</v>
      </c>
      <c r="W20" s="175">
        <v>0</v>
      </c>
      <c r="X20" s="175">
        <v>0</v>
      </c>
      <c r="Y20" s="175">
        <v>0.7</v>
      </c>
      <c r="Z20" s="175">
        <v>0</v>
      </c>
      <c r="AA20" s="175">
        <f>'Purchased Power Model'!D65</f>
        <v>0</v>
      </c>
      <c r="AB20" s="175">
        <f>+'Purchased Power Model'!D79</f>
        <v>0</v>
      </c>
      <c r="AC20" s="175">
        <f>+'Purchased Power Model'!D91</f>
        <v>0</v>
      </c>
      <c r="AD20" s="175">
        <f>+'Purchased Power Model'!D103</f>
        <v>0</v>
      </c>
      <c r="AE20" s="175">
        <f>+'Purchased Power Model'!D115</f>
        <v>0</v>
      </c>
      <c r="AF20" s="175">
        <f>+'Purchased Power Model'!D127</f>
        <v>0</v>
      </c>
      <c r="AG20" s="175">
        <f t="shared" si="4"/>
        <v>6.9999999999999993E-2</v>
      </c>
      <c r="AH20" s="175">
        <f t="shared" si="5"/>
        <v>4.9473684210526336E-2</v>
      </c>
    </row>
    <row r="21" spans="1:34" x14ac:dyDescent="0.3">
      <c r="A21" s="13" t="s">
        <v>103</v>
      </c>
      <c r="B21" s="175">
        <v>0</v>
      </c>
      <c r="C21" s="175">
        <v>12.3</v>
      </c>
      <c r="D21" s="175">
        <v>0</v>
      </c>
      <c r="E21" s="175">
        <v>0</v>
      </c>
      <c r="F21" s="175">
        <v>0</v>
      </c>
      <c r="G21" s="175">
        <v>0</v>
      </c>
      <c r="H21" s="175">
        <v>0</v>
      </c>
      <c r="I21" s="175">
        <v>0</v>
      </c>
      <c r="J21" s="175">
        <v>0</v>
      </c>
      <c r="K21" s="175">
        <v>0</v>
      </c>
      <c r="L21" s="175">
        <v>0</v>
      </c>
      <c r="M21" s="175">
        <v>0</v>
      </c>
      <c r="N21" s="175">
        <v>0</v>
      </c>
      <c r="O21" s="175">
        <v>0.5</v>
      </c>
      <c r="P21" s="175">
        <v>0</v>
      </c>
      <c r="Q21" s="175">
        <v>0</v>
      </c>
      <c r="R21" s="175">
        <v>0</v>
      </c>
      <c r="S21" s="175">
        <v>0</v>
      </c>
      <c r="T21" s="175">
        <v>0</v>
      </c>
      <c r="U21" s="175">
        <v>0.4</v>
      </c>
      <c r="V21" s="175">
        <v>0.09</v>
      </c>
      <c r="W21" s="175">
        <v>0.1</v>
      </c>
      <c r="X21" s="175">
        <v>0</v>
      </c>
      <c r="Y21" s="175">
        <v>0</v>
      </c>
      <c r="Z21" s="175">
        <v>0</v>
      </c>
      <c r="AA21" s="175">
        <f>'Purchased Power Model'!D66</f>
        <v>0</v>
      </c>
      <c r="AB21" s="175">
        <f>+'Purchased Power Model'!D80</f>
        <v>0</v>
      </c>
      <c r="AC21" s="175">
        <f>+'Purchased Power Model'!D92</f>
        <v>0</v>
      </c>
      <c r="AD21" s="175">
        <f>+'Purchased Power Model'!D104</f>
        <v>0</v>
      </c>
      <c r="AE21" s="175">
        <f>+'Purchased Power Model'!D116</f>
        <v>0</v>
      </c>
      <c r="AF21" s="175">
        <f>+'Purchased Power Model'!D128</f>
        <v>0</v>
      </c>
      <c r="AG21" s="175">
        <f t="shared" si="4"/>
        <v>0.01</v>
      </c>
      <c r="AH21" s="175">
        <f t="shared" si="5"/>
        <v>1.8563909774437448E-2</v>
      </c>
    </row>
    <row r="22" spans="1:34" x14ac:dyDescent="0.3">
      <c r="A22" s="13" t="s">
        <v>104</v>
      </c>
      <c r="B22" s="175">
        <v>6</v>
      </c>
      <c r="C22" s="175">
        <v>15</v>
      </c>
      <c r="D22" s="175">
        <v>14.8</v>
      </c>
      <c r="E22" s="175">
        <v>2.5</v>
      </c>
      <c r="F22" s="175">
        <v>4</v>
      </c>
      <c r="G22" s="175">
        <v>2.2000000000000002</v>
      </c>
      <c r="H22" s="175">
        <v>0.5</v>
      </c>
      <c r="I22" s="175">
        <v>0</v>
      </c>
      <c r="J22" s="175">
        <v>0</v>
      </c>
      <c r="K22" s="175">
        <v>9.9</v>
      </c>
      <c r="L22" s="175">
        <v>16.100000000000001</v>
      </c>
      <c r="M22" s="175">
        <v>2.8</v>
      </c>
      <c r="N22" s="175">
        <v>3.7</v>
      </c>
      <c r="O22" s="175">
        <v>0.8</v>
      </c>
      <c r="P22" s="175">
        <v>0.7</v>
      </c>
      <c r="Q22" s="175">
        <v>4.0999999999999996</v>
      </c>
      <c r="R22" s="175">
        <v>0.9</v>
      </c>
      <c r="S22" s="175">
        <v>14.5</v>
      </c>
      <c r="T22" s="175">
        <v>15.1</v>
      </c>
      <c r="U22" s="175">
        <v>0</v>
      </c>
      <c r="V22" s="175">
        <v>0</v>
      </c>
      <c r="W22" s="175">
        <v>29.2</v>
      </c>
      <c r="X22" s="175">
        <v>6.9</v>
      </c>
      <c r="Y22" s="175">
        <v>13.8</v>
      </c>
      <c r="Z22" s="175">
        <v>9.6999999999999993</v>
      </c>
      <c r="AA22" s="175">
        <f>'Purchased Power Model'!D67</f>
        <v>1.3</v>
      </c>
      <c r="AB22" s="175">
        <f>+'Purchased Power Model'!D81</f>
        <v>8.1</v>
      </c>
      <c r="AC22" s="175">
        <f>+'Purchased Power Model'!D93</f>
        <v>11.7</v>
      </c>
      <c r="AD22" s="175">
        <f>+'Purchased Power Model'!D105</f>
        <v>0.7</v>
      </c>
      <c r="AE22" s="175">
        <f>+'Purchased Power Model'!D117</f>
        <v>15.399999999999999</v>
      </c>
      <c r="AF22" s="175">
        <f>+'Purchased Power Model'!D129</f>
        <v>0</v>
      </c>
      <c r="AG22" s="175">
        <f t="shared" si="4"/>
        <v>9.6800000000000015</v>
      </c>
      <c r="AH22" s="175">
        <f t="shared" si="5"/>
        <v>8.3950375939849664</v>
      </c>
    </row>
    <row r="23" spans="1:34" x14ac:dyDescent="0.3">
      <c r="A23" s="13" t="s">
        <v>105</v>
      </c>
      <c r="B23" s="175">
        <v>25.6</v>
      </c>
      <c r="C23" s="175">
        <v>46.7</v>
      </c>
      <c r="D23" s="175">
        <v>39.1</v>
      </c>
      <c r="E23" s="175">
        <v>7.5</v>
      </c>
      <c r="F23" s="175">
        <v>4.4000000000000004</v>
      </c>
      <c r="G23" s="175">
        <v>36.1</v>
      </c>
      <c r="H23" s="175">
        <v>65.7</v>
      </c>
      <c r="I23" s="175">
        <v>20.100000000000001</v>
      </c>
      <c r="J23" s="175">
        <v>47.1</v>
      </c>
      <c r="K23" s="175">
        <v>52.6</v>
      </c>
      <c r="L23" s="175">
        <v>58.2</v>
      </c>
      <c r="M23" s="175">
        <v>11.3</v>
      </c>
      <c r="N23" s="175">
        <v>38.1</v>
      </c>
      <c r="O23" s="175">
        <v>34.1</v>
      </c>
      <c r="P23" s="175">
        <v>27.4</v>
      </c>
      <c r="Q23" s="175">
        <v>7.7</v>
      </c>
      <c r="R23" s="175">
        <v>75.7</v>
      </c>
      <c r="S23" s="175">
        <v>31.7</v>
      </c>
      <c r="T23" s="175">
        <v>55.8</v>
      </c>
      <c r="U23" s="175">
        <v>26.2</v>
      </c>
      <c r="V23" s="175">
        <v>34.1</v>
      </c>
      <c r="W23" s="175">
        <v>7.1</v>
      </c>
      <c r="X23" s="175">
        <v>22.2</v>
      </c>
      <c r="Y23" s="175">
        <v>49.1</v>
      </c>
      <c r="Z23" s="175">
        <v>15.000000000000004</v>
      </c>
      <c r="AA23" s="175">
        <f>'Purchased Power Model'!D68</f>
        <v>24.1</v>
      </c>
      <c r="AB23" s="175">
        <f>+'Purchased Power Model'!D82</f>
        <v>1.9</v>
      </c>
      <c r="AC23" s="175">
        <f>+'Purchased Power Model'!D94</f>
        <v>21.599999999999998</v>
      </c>
      <c r="AD23" s="175">
        <f>+'Purchased Power Model'!D106</f>
        <v>13.699999999999996</v>
      </c>
      <c r="AE23" s="175">
        <f>+'Purchased Power Model'!D118</f>
        <v>16.900000000000002</v>
      </c>
      <c r="AF23" s="175">
        <f>+'Purchased Power Model'!D130</f>
        <v>7.0000000000000009</v>
      </c>
      <c r="AG23" s="175">
        <f t="shared" si="4"/>
        <v>17.86</v>
      </c>
      <c r="AH23" s="175">
        <f t="shared" si="5"/>
        <v>19.662030075187886</v>
      </c>
    </row>
    <row r="24" spans="1:34" x14ac:dyDescent="0.3">
      <c r="A24" s="13" t="s">
        <v>106</v>
      </c>
      <c r="B24" s="175">
        <v>75.599999999999994</v>
      </c>
      <c r="C24" s="175">
        <v>45.5</v>
      </c>
      <c r="D24" s="175">
        <v>66.900000000000006</v>
      </c>
      <c r="E24" s="175">
        <v>4.3</v>
      </c>
      <c r="F24" s="175">
        <v>56.18</v>
      </c>
      <c r="G24" s="175">
        <v>45.7</v>
      </c>
      <c r="H24" s="175">
        <v>56.5</v>
      </c>
      <c r="I24" s="175">
        <v>20.2</v>
      </c>
      <c r="J24" s="175">
        <v>51</v>
      </c>
      <c r="K24" s="175">
        <v>44.3</v>
      </c>
      <c r="L24" s="175">
        <v>80.400000000000006</v>
      </c>
      <c r="M24" s="175">
        <v>30.6</v>
      </c>
      <c r="N24" s="175">
        <v>62.5</v>
      </c>
      <c r="O24" s="175">
        <v>74.099999999999994</v>
      </c>
      <c r="P24" s="175">
        <v>37.4</v>
      </c>
      <c r="Q24" s="175">
        <v>41</v>
      </c>
      <c r="R24" s="175">
        <v>103</v>
      </c>
      <c r="S24" s="175">
        <v>81.400000000000006</v>
      </c>
      <c r="T24" s="175">
        <v>44.6</v>
      </c>
      <c r="U24" s="175">
        <v>38.299999999999997</v>
      </c>
      <c r="V24" s="175">
        <v>13.6</v>
      </c>
      <c r="W24" s="175">
        <v>90.4</v>
      </c>
      <c r="X24" s="175">
        <v>85.4</v>
      </c>
      <c r="Y24" s="175">
        <v>78.3</v>
      </c>
      <c r="Z24" s="175">
        <v>52.79999999999999</v>
      </c>
      <c r="AA24" s="175">
        <f>'Purchased Power Model'!D69</f>
        <v>17.900000000000002</v>
      </c>
      <c r="AB24" s="175">
        <f>+'Purchased Power Model'!D83</f>
        <v>54.7</v>
      </c>
      <c r="AC24" s="175">
        <f>+'Purchased Power Model'!D95</f>
        <v>57.499999999999993</v>
      </c>
      <c r="AD24" s="175">
        <f>+'Purchased Power Model'!D107</f>
        <v>30.5</v>
      </c>
      <c r="AE24" s="175">
        <f>+'Purchased Power Model'!D119</f>
        <v>94.799999999999983</v>
      </c>
      <c r="AF24" s="175">
        <f>+'Purchased Power Model'!D131</f>
        <v>73.600000000000009</v>
      </c>
      <c r="AG24" s="175">
        <f t="shared" si="4"/>
        <v>63.589999999999996</v>
      </c>
      <c r="AH24" s="175">
        <f t="shared" si="5"/>
        <v>60.372105263157891</v>
      </c>
    </row>
    <row r="25" spans="1:34" x14ac:dyDescent="0.3">
      <c r="A25" s="13" t="s">
        <v>107</v>
      </c>
      <c r="B25" s="175">
        <v>35.299999999999997</v>
      </c>
      <c r="C25" s="175">
        <v>4.3</v>
      </c>
      <c r="D25" s="175">
        <v>49.8</v>
      </c>
      <c r="E25" s="175">
        <v>14.3</v>
      </c>
      <c r="F25" s="175">
        <v>58.91</v>
      </c>
      <c r="G25" s="175">
        <v>6.1</v>
      </c>
      <c r="H25" s="175">
        <v>59.6</v>
      </c>
      <c r="I25" s="175">
        <v>35.799999999999997</v>
      </c>
      <c r="J25" s="175">
        <v>10.6</v>
      </c>
      <c r="K25" s="175">
        <v>57.9</v>
      </c>
      <c r="L25" s="175">
        <v>23.2</v>
      </c>
      <c r="M25" s="175">
        <v>24.2</v>
      </c>
      <c r="N25" s="175">
        <v>79</v>
      </c>
      <c r="O25" s="175">
        <v>62.6</v>
      </c>
      <c r="P25" s="175">
        <v>60.7</v>
      </c>
      <c r="Q25" s="175">
        <v>20.5</v>
      </c>
      <c r="R25" s="175">
        <v>66.5</v>
      </c>
      <c r="S25" s="175">
        <v>25.4</v>
      </c>
      <c r="T25" s="175">
        <v>48.9</v>
      </c>
      <c r="U25" s="175">
        <v>21.7</v>
      </c>
      <c r="V25" s="175">
        <v>35.6</v>
      </c>
      <c r="W25" s="175">
        <v>69.7</v>
      </c>
      <c r="X25" s="175">
        <v>45.9</v>
      </c>
      <c r="Y25" s="175">
        <v>44.9</v>
      </c>
      <c r="Z25" s="175">
        <v>23.449999999999992</v>
      </c>
      <c r="AA25" s="175">
        <f>'Purchased Power Model'!D70</f>
        <v>16.399999999999999</v>
      </c>
      <c r="AB25" s="175">
        <f>+'Purchased Power Model'!D84</f>
        <v>44.900000000000006</v>
      </c>
      <c r="AC25" s="175">
        <f>+'Purchased Power Model'!D96</f>
        <v>69.100000000000009</v>
      </c>
      <c r="AD25" s="175">
        <f>+'Purchased Power Model'!D108</f>
        <v>12.799999999999999</v>
      </c>
      <c r="AE25" s="175">
        <f>+'Purchased Power Model'!D120</f>
        <v>55.300000000000026</v>
      </c>
      <c r="AF25" s="175">
        <f>+'Purchased Power Model'!D132</f>
        <v>18.299999999999997</v>
      </c>
      <c r="AG25" s="175">
        <f t="shared" si="4"/>
        <v>40.075000000000003</v>
      </c>
      <c r="AH25" s="175">
        <f t="shared" si="5"/>
        <v>37.072669172932365</v>
      </c>
    </row>
    <row r="26" spans="1:34" x14ac:dyDescent="0.3">
      <c r="A26" s="13" t="s">
        <v>108</v>
      </c>
      <c r="B26" s="175">
        <v>6</v>
      </c>
      <c r="C26" s="175">
        <v>0</v>
      </c>
      <c r="D26" s="175">
        <v>4.9000000000000004</v>
      </c>
      <c r="E26" s="175">
        <v>1.7</v>
      </c>
      <c r="F26" s="175">
        <v>0</v>
      </c>
      <c r="G26" s="175">
        <v>2.4</v>
      </c>
      <c r="H26" s="175">
        <v>0</v>
      </c>
      <c r="I26" s="175">
        <v>21.6</v>
      </c>
      <c r="J26" s="175">
        <v>0</v>
      </c>
      <c r="K26" s="175">
        <v>1.7</v>
      </c>
      <c r="L26" s="175">
        <v>28.3</v>
      </c>
      <c r="M26" s="175">
        <v>5.7</v>
      </c>
      <c r="N26" s="175">
        <v>11.8</v>
      </c>
      <c r="O26" s="175">
        <v>30.2</v>
      </c>
      <c r="P26" s="175">
        <v>9.1</v>
      </c>
      <c r="Q26" s="175">
        <v>19.8</v>
      </c>
      <c r="R26" s="175">
        <v>17.3</v>
      </c>
      <c r="S26" s="175">
        <v>0.1</v>
      </c>
      <c r="T26" s="175">
        <v>13.7</v>
      </c>
      <c r="U26" s="175">
        <v>6.9</v>
      </c>
      <c r="V26" s="175">
        <v>4.9000000000000004</v>
      </c>
      <c r="W26" s="175">
        <v>11.8</v>
      </c>
      <c r="X26" s="175">
        <v>17.899999999999999</v>
      </c>
      <c r="Y26" s="175">
        <v>12.4</v>
      </c>
      <c r="Z26" s="175">
        <v>1.6499999999999986</v>
      </c>
      <c r="AA26" s="175">
        <f>'Purchased Power Model'!D71</f>
        <v>4.5999999999999996</v>
      </c>
      <c r="AB26" s="175">
        <f>+'Purchased Power Model'!D85</f>
        <v>43.1</v>
      </c>
      <c r="AC26" s="175">
        <f>+'Purchased Power Model'!D97</f>
        <v>11.7</v>
      </c>
      <c r="AD26" s="175">
        <f>+'Purchased Power Model'!D109</f>
        <v>30.400000000000002</v>
      </c>
      <c r="AE26" s="175">
        <f>+'Purchased Power Model'!D121</f>
        <v>24.4</v>
      </c>
      <c r="AF26" s="175">
        <f>+'Purchased Power Model'!D133</f>
        <v>1.9</v>
      </c>
      <c r="AG26" s="175">
        <f t="shared" si="4"/>
        <v>15.985000000000003</v>
      </c>
      <c r="AH26" s="175">
        <f t="shared" si="5"/>
        <v>15.477105263157796</v>
      </c>
    </row>
    <row r="27" spans="1:34" x14ac:dyDescent="0.3">
      <c r="A27" s="13" t="s">
        <v>109</v>
      </c>
      <c r="B27" s="175">
        <v>0</v>
      </c>
      <c r="C27" s="175">
        <v>0</v>
      </c>
      <c r="D27" s="175">
        <v>0</v>
      </c>
      <c r="E27" s="175">
        <v>0</v>
      </c>
      <c r="F27" s="175">
        <v>0</v>
      </c>
      <c r="G27" s="175">
        <v>0</v>
      </c>
      <c r="H27" s="175">
        <v>0.7</v>
      </c>
      <c r="I27" s="175">
        <v>0</v>
      </c>
      <c r="J27" s="175">
        <v>0.2</v>
      </c>
      <c r="K27" s="175">
        <v>0</v>
      </c>
      <c r="L27" s="175">
        <v>0</v>
      </c>
      <c r="M27" s="175">
        <v>0</v>
      </c>
      <c r="N27" s="175">
        <v>0</v>
      </c>
      <c r="O27" s="175">
        <v>2.2000000000000002</v>
      </c>
      <c r="P27" s="175">
        <v>0.4</v>
      </c>
      <c r="Q27" s="175">
        <v>0</v>
      </c>
      <c r="R27" s="175">
        <v>7.3</v>
      </c>
      <c r="S27" s="175">
        <v>0</v>
      </c>
      <c r="T27" s="175">
        <v>0</v>
      </c>
      <c r="U27" s="175">
        <v>0.7</v>
      </c>
      <c r="V27" s="175">
        <v>0</v>
      </c>
      <c r="W27" s="175">
        <v>0</v>
      </c>
      <c r="X27" s="175">
        <v>1.5</v>
      </c>
      <c r="Y27" s="175">
        <v>0</v>
      </c>
      <c r="Z27" s="175">
        <v>0</v>
      </c>
      <c r="AA27" s="175">
        <f>'Purchased Power Model'!D72</f>
        <v>0</v>
      </c>
      <c r="AB27" s="175">
        <f>+'Purchased Power Model'!D86</f>
        <v>0</v>
      </c>
      <c r="AC27" s="175">
        <f>+'Purchased Power Model'!D98</f>
        <v>1.7000000000000002</v>
      </c>
      <c r="AD27" s="175">
        <f>+'Purchased Power Model'!D110</f>
        <v>0</v>
      </c>
      <c r="AE27" s="175">
        <f>+'Purchased Power Model'!D122</f>
        <v>0</v>
      </c>
      <c r="AF27" s="175">
        <f>+'Purchased Power Model'!D134</f>
        <v>0</v>
      </c>
      <c r="AG27" s="175">
        <f t="shared" si="4"/>
        <v>0.32</v>
      </c>
      <c r="AH27" s="175">
        <f t="shared" si="5"/>
        <v>0.36165413533834112</v>
      </c>
    </row>
    <row r="28" spans="1:34" x14ac:dyDescent="0.3">
      <c r="A28" s="13" t="s">
        <v>110</v>
      </c>
      <c r="B28" s="175">
        <v>0</v>
      </c>
      <c r="C28" s="175">
        <v>0</v>
      </c>
      <c r="D28" s="175">
        <v>0</v>
      </c>
      <c r="E28" s="175">
        <v>0</v>
      </c>
      <c r="F28" s="175">
        <v>0</v>
      </c>
      <c r="G28" s="175">
        <v>0</v>
      </c>
      <c r="H28" s="175">
        <v>0</v>
      </c>
      <c r="I28" s="175">
        <v>0</v>
      </c>
      <c r="J28" s="175">
        <v>0</v>
      </c>
      <c r="K28" s="175">
        <v>0</v>
      </c>
      <c r="L28" s="175">
        <v>0</v>
      </c>
      <c r="M28" s="175">
        <v>0</v>
      </c>
      <c r="N28" s="175">
        <v>0</v>
      </c>
      <c r="O28" s="175">
        <v>0</v>
      </c>
      <c r="P28" s="175">
        <v>0</v>
      </c>
      <c r="Q28" s="175">
        <v>0</v>
      </c>
      <c r="R28" s="175">
        <v>0</v>
      </c>
      <c r="S28" s="175">
        <v>0</v>
      </c>
      <c r="T28" s="175">
        <v>0</v>
      </c>
      <c r="U28" s="175">
        <v>0</v>
      </c>
      <c r="V28" s="175">
        <v>0</v>
      </c>
      <c r="W28" s="175">
        <v>0</v>
      </c>
      <c r="X28" s="175">
        <v>0</v>
      </c>
      <c r="Y28" s="175">
        <v>0</v>
      </c>
      <c r="Z28" s="175">
        <v>0</v>
      </c>
      <c r="AA28" s="175">
        <f>'Purchased Power Model'!D73</f>
        <v>0</v>
      </c>
      <c r="AB28" s="175">
        <f>+'Purchased Power Model'!D87</f>
        <v>0</v>
      </c>
      <c r="AC28" s="175">
        <f>+'Purchased Power Model'!D99</f>
        <v>0</v>
      </c>
      <c r="AD28" s="175">
        <f>+'Purchased Power Model'!D111</f>
        <v>0</v>
      </c>
      <c r="AE28" s="175">
        <f>+'Purchased Power Model'!D123</f>
        <v>0</v>
      </c>
      <c r="AF28" s="175">
        <f>+'Purchased Power Model'!D135</f>
        <v>0</v>
      </c>
      <c r="AG28" s="175">
        <f t="shared" si="4"/>
        <v>0</v>
      </c>
      <c r="AH28" s="175">
        <f t="shared" si="5"/>
        <v>0</v>
      </c>
    </row>
    <row r="29" spans="1:34" x14ac:dyDescent="0.3">
      <c r="A29" s="13" t="s">
        <v>111</v>
      </c>
      <c r="B29" s="175">
        <v>0</v>
      </c>
      <c r="C29" s="175">
        <v>0</v>
      </c>
      <c r="D29" s="175">
        <v>0</v>
      </c>
      <c r="E29" s="175">
        <v>0</v>
      </c>
      <c r="F29" s="175">
        <v>0</v>
      </c>
      <c r="G29" s="175">
        <v>0</v>
      </c>
      <c r="H29" s="175">
        <v>0</v>
      </c>
      <c r="I29" s="175">
        <v>0</v>
      </c>
      <c r="J29" s="175">
        <v>0</v>
      </c>
      <c r="K29" s="175">
        <v>0</v>
      </c>
      <c r="L29" s="175">
        <v>0</v>
      </c>
      <c r="M29" s="175">
        <v>0</v>
      </c>
      <c r="N29" s="175">
        <v>0</v>
      </c>
      <c r="O29" s="175">
        <v>0</v>
      </c>
      <c r="P29" s="175">
        <v>0</v>
      </c>
      <c r="Q29" s="175">
        <v>0</v>
      </c>
      <c r="R29" s="175">
        <v>0</v>
      </c>
      <c r="S29" s="175">
        <v>0</v>
      </c>
      <c r="T29" s="175">
        <v>0</v>
      </c>
      <c r="U29" s="175">
        <v>0</v>
      </c>
      <c r="V29" s="175">
        <v>0</v>
      </c>
      <c r="W29" s="175">
        <v>0</v>
      </c>
      <c r="X29" s="175">
        <v>0</v>
      </c>
      <c r="Y29" s="175">
        <v>0</v>
      </c>
      <c r="Z29" s="175">
        <v>0</v>
      </c>
      <c r="AA29" s="175">
        <f>'Purchased Power Model'!D74</f>
        <v>0</v>
      </c>
      <c r="AB29" s="175">
        <f>+'Purchased Power Model'!D88</f>
        <v>0</v>
      </c>
      <c r="AC29" s="175">
        <f>+'Purchased Power Model'!D100</f>
        <v>0</v>
      </c>
      <c r="AD29" s="175">
        <f>+'Purchased Power Model'!D112</f>
        <v>0</v>
      </c>
      <c r="AE29" s="175">
        <f>+'Purchased Power Model'!D124</f>
        <v>0</v>
      </c>
      <c r="AF29" s="175">
        <f>+'Purchased Power Model'!D136</f>
        <v>0</v>
      </c>
      <c r="AG29" s="175">
        <f t="shared" si="4"/>
        <v>0</v>
      </c>
      <c r="AH29" s="175">
        <f t="shared" si="5"/>
        <v>0</v>
      </c>
    </row>
    <row r="30" spans="1:34" x14ac:dyDescent="0.3">
      <c r="B30" s="175"/>
      <c r="C30" s="175"/>
      <c r="D30" s="175"/>
      <c r="E30" s="175"/>
      <c r="F30" s="175"/>
      <c r="G30" s="175"/>
      <c r="H30" s="175"/>
      <c r="I30" s="175"/>
      <c r="J30" s="175"/>
      <c r="K30" s="175"/>
      <c r="L30" s="202">
        <f t="shared" ref="L30:AF30" si="6">SUM(L18:L29)</f>
        <v>206.20000000000002</v>
      </c>
      <c r="M30" s="202">
        <f t="shared" si="6"/>
        <v>74.600000000000009</v>
      </c>
      <c r="N30" s="202">
        <f t="shared" si="6"/>
        <v>195.10000000000002</v>
      </c>
      <c r="O30" s="202">
        <f t="shared" si="6"/>
        <v>204.49999999999997</v>
      </c>
      <c r="P30" s="202">
        <f t="shared" si="6"/>
        <v>135.70000000000002</v>
      </c>
      <c r="Q30" s="202">
        <f t="shared" si="6"/>
        <v>93.1</v>
      </c>
      <c r="R30" s="202">
        <f t="shared" si="6"/>
        <v>270.70000000000005</v>
      </c>
      <c r="S30" s="202">
        <f t="shared" si="6"/>
        <v>153.1</v>
      </c>
      <c r="T30" s="202">
        <f t="shared" si="6"/>
        <v>178.1</v>
      </c>
      <c r="U30" s="202">
        <f t="shared" si="6"/>
        <v>94.2</v>
      </c>
      <c r="V30" s="202">
        <f t="shared" si="6"/>
        <v>88.29000000000002</v>
      </c>
      <c r="W30" s="202">
        <f t="shared" si="6"/>
        <v>208.3</v>
      </c>
      <c r="X30" s="202">
        <f t="shared" si="6"/>
        <v>179.8</v>
      </c>
      <c r="Y30" s="202">
        <f t="shared" si="6"/>
        <v>199.20000000000002</v>
      </c>
      <c r="Z30" s="202">
        <f t="shared" si="6"/>
        <v>102.6</v>
      </c>
      <c r="AA30" s="202">
        <f t="shared" si="6"/>
        <v>64.3</v>
      </c>
      <c r="AB30" s="202">
        <f t="shared" si="6"/>
        <v>152.70000000000002</v>
      </c>
      <c r="AC30" s="202">
        <f t="shared" si="6"/>
        <v>173.29999999999995</v>
      </c>
      <c r="AD30" s="202">
        <f t="shared" si="6"/>
        <v>88.1</v>
      </c>
      <c r="AE30" s="202">
        <f t="shared" si="6"/>
        <v>206.8</v>
      </c>
      <c r="AF30" s="202">
        <f t="shared" si="6"/>
        <v>100.80000000000001</v>
      </c>
      <c r="AG30" s="200">
        <f>SUM(AG18:AG29)</f>
        <v>147.59</v>
      </c>
      <c r="AH30" s="200">
        <f>SUM(AH18:AH29)</f>
        <v>141.40863909774421</v>
      </c>
    </row>
  </sheetData>
  <phoneticPr fontId="32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p r o p e r t i e s   x m l n s = " h t t p : / / w w w . i m a n a g e . c o m / w o r k / x m l s c h e m a " >  
     < d o c u m e n t i d > D O C U M E N T S ! 1 1 8 6 9 3 4 6 6 . 1 < / d o c u m e n t i d >  
     < s e n d e r i d > F H O < / s e n d e r i d >  
     < s e n d e r e m a i l > F H O @ B L G . C O M < / s e n d e r e m a i l >  
     < l a s t m o d i f i e d > 2 0 2 0 - 1 2 - 2 9 T 2 1 : 5 8 : 2 9 . 0 0 0 0 0 0 0 - 0 5 : 0 0 < / l a s t m o d i f i e d >  
     < d a t a b a s e > D O C U M E N T S < / d a t a b a s e >  
 < / p r o p e r t i e s > 
</file>

<file path=customXml/itemProps1.xml><?xml version="1.0" encoding="utf-8"?>
<ds:datastoreItem xmlns:ds="http://schemas.openxmlformats.org/officeDocument/2006/customXml" ds:itemID="{F480E784-F3C7-4E2C-B6B0-7EDF519DB8CF}">
  <ds:schemaRefs>
    <ds:schemaRef ds:uri="http://www.imanage.com/work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Exhibit 3 Tables</vt:lpstr>
      <vt:lpstr>Summary</vt:lpstr>
      <vt:lpstr>Purchased Power Model</vt:lpstr>
      <vt:lpstr>Weather Normalized Historical</vt:lpstr>
      <vt:lpstr>Rate Class Energy Model</vt:lpstr>
      <vt:lpstr>Rate Class Customer Model</vt:lpstr>
      <vt:lpstr>Rate Class Load Model</vt:lpstr>
      <vt:lpstr>Weather Normal Values</vt:lpstr>
      <vt:lpstr>'Exhibit 3 Tables'!Print_Area</vt:lpstr>
      <vt:lpstr>'Rate Class Customer Model'!Print_Area</vt:lpstr>
      <vt:lpstr>'Rate Class Energy Model'!Print_Area</vt:lpstr>
      <vt:lpstr>'Rate Class Load Model'!Print_Area</vt:lpstr>
      <vt:lpstr>Summary!Print_Area</vt:lpstr>
    </vt:vector>
  </TitlesOfParts>
  <Company>London Hydro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Bacon</dc:creator>
  <cp:lastModifiedBy>_</cp:lastModifiedBy>
  <cp:lastPrinted>2014-12-08T18:53:42Z</cp:lastPrinted>
  <dcterms:created xsi:type="dcterms:W3CDTF">2008-02-06T18:24:44Z</dcterms:created>
  <dcterms:modified xsi:type="dcterms:W3CDTF">2021-01-05T14:15:08Z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