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2021 COS rate application\Settlement Conference\Settlement Proposal\Settlement Models to File\"/>
    </mc:Choice>
  </mc:AlternateContent>
  <bookViews>
    <workbookView xWindow="0" yWindow="0" windowWidth="20460" windowHeight="6645"/>
  </bookViews>
  <sheets>
    <sheet name="Summary" sheetId="1" r:id="rId1"/>
    <sheet name="PILS Settlement" sheetId="2" r:id="rId2"/>
    <sheet name="Before Settlement" sheetId="3" r:id="rId3"/>
  </sheets>
  <externalReferences>
    <externalReference r:id="rId4"/>
    <externalReference r:id="rId5"/>
    <externalReference r:id="rId6"/>
  </externalReferences>
  <definedNames>
    <definedName name="_Order1" hidden="1">255</definedName>
    <definedName name="_Sort" hidden="1">[1]Sheet1!$G$40:$K$40</definedName>
    <definedName name="BridgeYear">'[2]LDC Info'!$E$26</definedName>
    <definedName name="COS_RES_CUSTOMERS">#REF!</definedName>
    <definedName name="COS_RES_KWH">#REF!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RebaseYear">'[3]LDC Info'!$E$28</definedName>
    <definedName name="TestYear">'[2]LDC Info'!$E$24</definedName>
    <definedName name="YRS_LEF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B11" i="1"/>
  <c r="D4" i="1"/>
  <c r="C4" i="1"/>
  <c r="D3" i="1"/>
  <c r="C3" i="1"/>
  <c r="C5" i="1" s="1"/>
  <c r="C7" i="1" s="1"/>
  <c r="C8" i="1" s="1"/>
  <c r="C10" i="1" s="1"/>
  <c r="C12" i="1" s="1"/>
  <c r="B4" i="1"/>
  <c r="E4" i="1" s="1"/>
  <c r="B3" i="1"/>
  <c r="E11" i="1" l="1"/>
  <c r="E3" i="1"/>
  <c r="E5" i="1" s="1"/>
  <c r="E7" i="1" s="1"/>
  <c r="E8" i="1" s="1"/>
  <c r="B5" i="1"/>
  <c r="B7" i="1" s="1"/>
  <c r="B8" i="1" s="1"/>
  <c r="B10" i="1" s="1"/>
  <c r="B12" i="1" s="1"/>
  <c r="D5" i="1"/>
  <c r="D7" i="1" s="1"/>
  <c r="D8" i="1" s="1"/>
  <c r="D10" i="1" s="1"/>
  <c r="D12" i="1" s="1"/>
  <c r="E26" i="3"/>
  <c r="D20" i="3"/>
  <c r="D22" i="3" s="1"/>
  <c r="D23" i="3" s="1"/>
  <c r="D25" i="3" s="1"/>
  <c r="D27" i="3" s="1"/>
  <c r="C20" i="3"/>
  <c r="C22" i="3" s="1"/>
  <c r="C23" i="3" s="1"/>
  <c r="C25" i="3" s="1"/>
  <c r="C27" i="3" s="1"/>
  <c r="B20" i="3"/>
  <c r="B22" i="3" s="1"/>
  <c r="B23" i="3" s="1"/>
  <c r="E19" i="3"/>
  <c r="E18" i="3"/>
  <c r="E20" i="3" s="1"/>
  <c r="E22" i="3" s="1"/>
  <c r="E23" i="3" s="1"/>
  <c r="E9" i="3"/>
  <c r="E8" i="3"/>
  <c r="E6" i="3"/>
  <c r="E5" i="3"/>
  <c r="E4" i="3"/>
  <c r="E12" i="3"/>
  <c r="D8" i="3"/>
  <c r="D9" i="3" s="1"/>
  <c r="D11" i="3" s="1"/>
  <c r="D13" i="3" s="1"/>
  <c r="D6" i="3"/>
  <c r="C6" i="3"/>
  <c r="C8" i="3" s="1"/>
  <c r="C9" i="3" s="1"/>
  <c r="C11" i="3" s="1"/>
  <c r="C13" i="3" s="1"/>
  <c r="B6" i="3"/>
  <c r="B8" i="3" s="1"/>
  <c r="B9" i="3" s="1"/>
  <c r="B11" i="3" s="1"/>
  <c r="E167" i="2"/>
  <c r="D166" i="2"/>
  <c r="F165" i="2"/>
  <c r="D165" i="2"/>
  <c r="F164" i="2"/>
  <c r="D164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D157" i="2"/>
  <c r="F156" i="2"/>
  <c r="D156" i="2"/>
  <c r="F155" i="2"/>
  <c r="D155" i="2"/>
  <c r="F154" i="2"/>
  <c r="D154" i="2"/>
  <c r="E145" i="2"/>
  <c r="F144" i="2"/>
  <c r="D144" i="2"/>
  <c r="F143" i="2"/>
  <c r="D143" i="2"/>
  <c r="F142" i="2"/>
  <c r="D142" i="2"/>
  <c r="F141" i="2"/>
  <c r="D141" i="2"/>
  <c r="F140" i="2"/>
  <c r="D140" i="2"/>
  <c r="F139" i="2"/>
  <c r="D139" i="2"/>
  <c r="F138" i="2"/>
  <c r="D138" i="2"/>
  <c r="F137" i="2"/>
  <c r="D137" i="2"/>
  <c r="F136" i="2"/>
  <c r="D136" i="2"/>
  <c r="F135" i="2"/>
  <c r="D135" i="2"/>
  <c r="F134" i="2"/>
  <c r="D134" i="2"/>
  <c r="F133" i="2"/>
  <c r="D133" i="2"/>
  <c r="F132" i="2"/>
  <c r="D132" i="2"/>
  <c r="E124" i="2"/>
  <c r="F123" i="2"/>
  <c r="D123" i="2"/>
  <c r="C123" i="2"/>
  <c r="F122" i="2"/>
  <c r="C122" i="2"/>
  <c r="F121" i="2"/>
  <c r="D121" i="2"/>
  <c r="C121" i="2"/>
  <c r="F120" i="2"/>
  <c r="D120" i="2"/>
  <c r="C120" i="2"/>
  <c r="F119" i="2"/>
  <c r="D119" i="2"/>
  <c r="C119" i="2"/>
  <c r="F118" i="2"/>
  <c r="D118" i="2"/>
  <c r="C118" i="2"/>
  <c r="F117" i="2"/>
  <c r="D117" i="2"/>
  <c r="C117" i="2"/>
  <c r="F116" i="2"/>
  <c r="D116" i="2"/>
  <c r="C116" i="2"/>
  <c r="F115" i="2"/>
  <c r="D115" i="2"/>
  <c r="C115" i="2"/>
  <c r="F114" i="2"/>
  <c r="D114" i="2"/>
  <c r="C114" i="2"/>
  <c r="F113" i="2"/>
  <c r="D113" i="2"/>
  <c r="C113" i="2"/>
  <c r="F112" i="2"/>
  <c r="D112" i="2"/>
  <c r="C112" i="2"/>
  <c r="F111" i="2"/>
  <c r="D111" i="2"/>
  <c r="C111" i="2"/>
  <c r="F102" i="2"/>
  <c r="D102" i="2"/>
  <c r="E101" i="2"/>
  <c r="H101" i="2" s="1"/>
  <c r="J101" i="2" s="1"/>
  <c r="E100" i="2"/>
  <c r="H100" i="2" s="1"/>
  <c r="J100" i="2" s="1"/>
  <c r="H99" i="2"/>
  <c r="I99" i="2" s="1"/>
  <c r="H98" i="2"/>
  <c r="I98" i="2" s="1"/>
  <c r="H97" i="2"/>
  <c r="I97" i="2" s="1"/>
  <c r="E96" i="2"/>
  <c r="H96" i="2" s="1"/>
  <c r="J96" i="2" s="1"/>
  <c r="E95" i="2"/>
  <c r="H95" i="2" s="1"/>
  <c r="I95" i="2" s="1"/>
  <c r="E94" i="2"/>
  <c r="H94" i="2" s="1"/>
  <c r="I94" i="2" s="1"/>
  <c r="H93" i="2"/>
  <c r="I93" i="2" s="1"/>
  <c r="H92" i="2"/>
  <c r="I92" i="2" s="1"/>
  <c r="E91" i="2"/>
  <c r="H90" i="2"/>
  <c r="H89" i="2"/>
  <c r="F82" i="2"/>
  <c r="F166" i="2" s="1"/>
  <c r="D82" i="2"/>
  <c r="E81" i="2"/>
  <c r="H81" i="2" s="1"/>
  <c r="E80" i="2"/>
  <c r="H79" i="2"/>
  <c r="I79" i="2" s="1"/>
  <c r="H78" i="2"/>
  <c r="I78" i="2" s="1"/>
  <c r="H77" i="2"/>
  <c r="I77" i="2" s="1"/>
  <c r="E76" i="2"/>
  <c r="H76" i="2" s="1"/>
  <c r="J76" i="2" s="1"/>
  <c r="E75" i="2"/>
  <c r="H75" i="2" s="1"/>
  <c r="J75" i="2" s="1"/>
  <c r="E74" i="2"/>
  <c r="H74" i="2" s="1"/>
  <c r="J74" i="2" s="1"/>
  <c r="H73" i="2"/>
  <c r="I73" i="2" s="1"/>
  <c r="H72" i="2"/>
  <c r="I72" i="2" s="1"/>
  <c r="E71" i="2"/>
  <c r="H71" i="2" s="1"/>
  <c r="J71" i="2" s="1"/>
  <c r="H70" i="2"/>
  <c r="H69" i="2"/>
  <c r="F42" i="2"/>
  <c r="D42" i="2"/>
  <c r="E41" i="2"/>
  <c r="H41" i="2" s="1"/>
  <c r="J41" i="2" s="1"/>
  <c r="E40" i="2"/>
  <c r="H40" i="2" s="1"/>
  <c r="J40" i="2" s="1"/>
  <c r="H39" i="2"/>
  <c r="I39" i="2" s="1"/>
  <c r="H38" i="2"/>
  <c r="I38" i="2" s="1"/>
  <c r="H37" i="2"/>
  <c r="I37" i="2" s="1"/>
  <c r="E36" i="2"/>
  <c r="H36" i="2" s="1"/>
  <c r="J36" i="2" s="1"/>
  <c r="E35" i="2"/>
  <c r="H35" i="2" s="1"/>
  <c r="E34" i="2"/>
  <c r="H34" i="2" s="1"/>
  <c r="H33" i="2"/>
  <c r="I33" i="2" s="1"/>
  <c r="H32" i="2"/>
  <c r="I32" i="2" s="1"/>
  <c r="E31" i="2"/>
  <c r="H31" i="2" s="1"/>
  <c r="H30" i="2"/>
  <c r="H29" i="2"/>
  <c r="F21" i="2"/>
  <c r="E21" i="2"/>
  <c r="C21" i="2"/>
  <c r="H20" i="2"/>
  <c r="I20" i="2" s="1"/>
  <c r="G20" i="2"/>
  <c r="H19" i="2"/>
  <c r="I19" i="2" s="1"/>
  <c r="D19" i="2"/>
  <c r="D122" i="2" s="1"/>
  <c r="H18" i="2"/>
  <c r="I18" i="2" s="1"/>
  <c r="G18" i="2"/>
  <c r="H17" i="2"/>
  <c r="I17" i="2" s="1"/>
  <c r="G17" i="2"/>
  <c r="H16" i="2"/>
  <c r="I16" i="2" s="1"/>
  <c r="G16" i="2"/>
  <c r="H15" i="2"/>
  <c r="J15" i="2" s="1"/>
  <c r="G15" i="2"/>
  <c r="H14" i="2"/>
  <c r="J14" i="2" s="1"/>
  <c r="G14" i="2"/>
  <c r="H13" i="2"/>
  <c r="J13" i="2" s="1"/>
  <c r="G13" i="2"/>
  <c r="H12" i="2"/>
  <c r="I12" i="2" s="1"/>
  <c r="G12" i="2"/>
  <c r="H11" i="2"/>
  <c r="I11" i="2" s="1"/>
  <c r="G11" i="2"/>
  <c r="H10" i="2"/>
  <c r="J10" i="2" s="1"/>
  <c r="G10" i="2"/>
  <c r="H9" i="2"/>
  <c r="G9" i="2"/>
  <c r="H8" i="2"/>
  <c r="G8" i="2"/>
  <c r="L8" i="2" s="1"/>
  <c r="E10" i="1" l="1"/>
  <c r="E12" i="1" s="1"/>
  <c r="E14" i="1" s="1"/>
  <c r="B27" i="1" s="1"/>
  <c r="E25" i="3"/>
  <c r="B27" i="3"/>
  <c r="E27" i="3" s="1"/>
  <c r="E11" i="3"/>
  <c r="B13" i="3"/>
  <c r="E13" i="3" s="1"/>
  <c r="G135" i="2"/>
  <c r="G159" i="2"/>
  <c r="G121" i="2"/>
  <c r="G134" i="2"/>
  <c r="G136" i="2"/>
  <c r="G114" i="2"/>
  <c r="H114" i="2" s="1"/>
  <c r="J114" i="2" s="1"/>
  <c r="G118" i="2"/>
  <c r="H118" i="2" s="1"/>
  <c r="J118" i="2" s="1"/>
  <c r="G156" i="2"/>
  <c r="G158" i="2"/>
  <c r="G138" i="2"/>
  <c r="G112" i="2"/>
  <c r="G116" i="2"/>
  <c r="H116" i="2" s="1"/>
  <c r="J116" i="2" s="1"/>
  <c r="G142" i="2"/>
  <c r="G155" i="2"/>
  <c r="G157" i="2"/>
  <c r="G163" i="2"/>
  <c r="G120" i="2"/>
  <c r="H120" i="2" s="1"/>
  <c r="G144" i="2"/>
  <c r="G154" i="2"/>
  <c r="G160" i="2"/>
  <c r="G164" i="2"/>
  <c r="L18" i="2"/>
  <c r="M18" i="2" s="1"/>
  <c r="C39" i="2" s="1"/>
  <c r="G39" i="2" s="1"/>
  <c r="G113" i="2"/>
  <c r="H113" i="2" s="1"/>
  <c r="G139" i="2"/>
  <c r="G141" i="2"/>
  <c r="G143" i="2"/>
  <c r="G165" i="2"/>
  <c r="L17" i="2"/>
  <c r="M17" i="2" s="1"/>
  <c r="C38" i="2" s="1"/>
  <c r="G38" i="2" s="1"/>
  <c r="F167" i="2"/>
  <c r="I14" i="2"/>
  <c r="L14" i="2" s="1"/>
  <c r="M14" i="2" s="1"/>
  <c r="C35" i="2" s="1"/>
  <c r="G35" i="2" s="1"/>
  <c r="I40" i="2"/>
  <c r="E102" i="2"/>
  <c r="G115" i="2"/>
  <c r="H115" i="2" s="1"/>
  <c r="J115" i="2" s="1"/>
  <c r="I10" i="2"/>
  <c r="L10" i="2" s="1"/>
  <c r="M10" i="2" s="1"/>
  <c r="C31" i="2" s="1"/>
  <c r="G31" i="2" s="1"/>
  <c r="I13" i="2"/>
  <c r="L13" i="2" s="1"/>
  <c r="M13" i="2" s="1"/>
  <c r="C34" i="2" s="1"/>
  <c r="G34" i="2" s="1"/>
  <c r="G166" i="2"/>
  <c r="L9" i="2"/>
  <c r="M9" i="2" s="1"/>
  <c r="C30" i="2" s="1"/>
  <c r="G30" i="2" s="1"/>
  <c r="L11" i="2"/>
  <c r="M11" i="2" s="1"/>
  <c r="C32" i="2" s="1"/>
  <c r="G32" i="2" s="1"/>
  <c r="L12" i="2"/>
  <c r="M12" i="2" s="1"/>
  <c r="C33" i="2" s="1"/>
  <c r="G33" i="2" s="1"/>
  <c r="L33" i="2" s="1"/>
  <c r="M33" i="2" s="1"/>
  <c r="C73" i="2" s="1"/>
  <c r="G73" i="2" s="1"/>
  <c r="L16" i="2"/>
  <c r="M16" i="2" s="1"/>
  <c r="C37" i="2" s="1"/>
  <c r="G37" i="2" s="1"/>
  <c r="L37" i="2" s="1"/>
  <c r="M37" i="2" s="1"/>
  <c r="C77" i="2" s="1"/>
  <c r="G77" i="2" s="1"/>
  <c r="D21" i="2"/>
  <c r="E82" i="2"/>
  <c r="G111" i="2"/>
  <c r="H111" i="2" s="1"/>
  <c r="J111" i="2" s="1"/>
  <c r="G117" i="2"/>
  <c r="H117" i="2" s="1"/>
  <c r="G119" i="2"/>
  <c r="H119" i="2" s="1"/>
  <c r="J119" i="2" s="1"/>
  <c r="G123" i="2"/>
  <c r="H123" i="2" s="1"/>
  <c r="G133" i="2"/>
  <c r="G140" i="2"/>
  <c r="G161" i="2"/>
  <c r="G122" i="2"/>
  <c r="H122" i="2" s="1"/>
  <c r="J122" i="2" s="1"/>
  <c r="J20" i="2"/>
  <c r="L20" i="2" s="1"/>
  <c r="M20" i="2" s="1"/>
  <c r="C41" i="2" s="1"/>
  <c r="G41" i="2" s="1"/>
  <c r="I75" i="2"/>
  <c r="I175" i="2"/>
  <c r="H91" i="2"/>
  <c r="I91" i="2" s="1"/>
  <c r="I101" i="2"/>
  <c r="I31" i="2"/>
  <c r="J31" i="2"/>
  <c r="I81" i="2"/>
  <c r="J81" i="2"/>
  <c r="I34" i="2"/>
  <c r="J34" i="2"/>
  <c r="I35" i="2"/>
  <c r="J35" i="2"/>
  <c r="H21" i="2"/>
  <c r="D124" i="2"/>
  <c r="M8" i="2"/>
  <c r="L15" i="2"/>
  <c r="M15" i="2" s="1"/>
  <c r="C36" i="2" s="1"/>
  <c r="G36" i="2" s="1"/>
  <c r="I41" i="2"/>
  <c r="I71" i="2"/>
  <c r="I74" i="2"/>
  <c r="H80" i="2"/>
  <c r="J94" i="2"/>
  <c r="J95" i="2"/>
  <c r="C124" i="2"/>
  <c r="H121" i="2"/>
  <c r="E42" i="2"/>
  <c r="I100" i="2"/>
  <c r="J19" i="2"/>
  <c r="G19" i="2"/>
  <c r="H42" i="2"/>
  <c r="D145" i="2"/>
  <c r="G132" i="2"/>
  <c r="F145" i="2"/>
  <c r="G137" i="2"/>
  <c r="D167" i="2"/>
  <c r="F124" i="2"/>
  <c r="G162" i="2"/>
  <c r="K112" i="2" l="1"/>
  <c r="C133" i="2" s="1"/>
  <c r="H133" i="2" s="1"/>
  <c r="J133" i="2" s="1"/>
  <c r="J21" i="2"/>
  <c r="H112" i="2"/>
  <c r="J112" i="2" s="1"/>
  <c r="G167" i="2"/>
  <c r="K119" i="2"/>
  <c r="C140" i="2" s="1"/>
  <c r="H140" i="2" s="1"/>
  <c r="J140" i="2" s="1"/>
  <c r="I21" i="2"/>
  <c r="K115" i="2"/>
  <c r="C136" i="2" s="1"/>
  <c r="H136" i="2" s="1"/>
  <c r="J136" i="2" s="1"/>
  <c r="J120" i="2"/>
  <c r="K120" i="2"/>
  <c r="C141" i="2" s="1"/>
  <c r="H141" i="2" s="1"/>
  <c r="J141" i="2" s="1"/>
  <c r="K141" i="2" s="1"/>
  <c r="C163" i="2" s="1"/>
  <c r="H163" i="2" s="1"/>
  <c r="I102" i="2"/>
  <c r="H102" i="2"/>
  <c r="L30" i="2"/>
  <c r="M30" i="2" s="1"/>
  <c r="C70" i="2" s="1"/>
  <c r="G70" i="2" s="1"/>
  <c r="L70" i="2" s="1"/>
  <c r="M70" i="2" s="1"/>
  <c r="C90" i="2" s="1"/>
  <c r="G90" i="2" s="1"/>
  <c r="J123" i="2"/>
  <c r="K123" i="2" s="1"/>
  <c r="C144" i="2" s="1"/>
  <c r="H144" i="2" s="1"/>
  <c r="K111" i="2"/>
  <c r="C132" i="2" s="1"/>
  <c r="K118" i="2"/>
  <c r="C139" i="2" s="1"/>
  <c r="H139" i="2" s="1"/>
  <c r="J139" i="2" s="1"/>
  <c r="G124" i="2"/>
  <c r="H124" i="2"/>
  <c r="J91" i="2"/>
  <c r="J102" i="2" s="1"/>
  <c r="L36" i="2"/>
  <c r="M36" i="2" s="1"/>
  <c r="C76" i="2" s="1"/>
  <c r="G76" i="2" s="1"/>
  <c r="L34" i="2"/>
  <c r="M34" i="2" s="1"/>
  <c r="C74" i="2" s="1"/>
  <c r="G74" i="2" s="1"/>
  <c r="L77" i="2"/>
  <c r="M77" i="2" s="1"/>
  <c r="C97" i="2" s="1"/>
  <c r="G97" i="2" s="1"/>
  <c r="L73" i="2"/>
  <c r="M73" i="2" s="1"/>
  <c r="C93" i="2" s="1"/>
  <c r="G93" i="2" s="1"/>
  <c r="I80" i="2"/>
  <c r="I82" i="2" s="1"/>
  <c r="J80" i="2"/>
  <c r="J82" i="2" s="1"/>
  <c r="L38" i="2"/>
  <c r="M38" i="2" s="1"/>
  <c r="C78" i="2" s="1"/>
  <c r="G78" i="2" s="1"/>
  <c r="I42" i="2"/>
  <c r="G145" i="2"/>
  <c r="L19" i="2"/>
  <c r="L21" i="2" s="1"/>
  <c r="D172" i="2" s="1"/>
  <c r="L32" i="2"/>
  <c r="M32" i="2" s="1"/>
  <c r="C72" i="2" s="1"/>
  <c r="G72" i="2" s="1"/>
  <c r="K116" i="2"/>
  <c r="C137" i="2" s="1"/>
  <c r="H137" i="2" s="1"/>
  <c r="J137" i="2" s="1"/>
  <c r="J113" i="2"/>
  <c r="K113" i="2" s="1"/>
  <c r="C134" i="2" s="1"/>
  <c r="H134" i="2" s="1"/>
  <c r="L35" i="2"/>
  <c r="M35" i="2" s="1"/>
  <c r="C75" i="2" s="1"/>
  <c r="G75" i="2" s="1"/>
  <c r="K114" i="2"/>
  <c r="C135" i="2" s="1"/>
  <c r="H135" i="2" s="1"/>
  <c r="L41" i="2"/>
  <c r="M41" i="2" s="1"/>
  <c r="C81" i="2" s="1"/>
  <c r="G81" i="2" s="1"/>
  <c r="H82" i="2"/>
  <c r="G21" i="2"/>
  <c r="K122" i="2"/>
  <c r="C143" i="2" s="1"/>
  <c r="H143" i="2" s="1"/>
  <c r="L39" i="2"/>
  <c r="M39" i="2" s="1"/>
  <c r="C79" i="2" s="1"/>
  <c r="G79" i="2" s="1"/>
  <c r="J117" i="2"/>
  <c r="K117" i="2" s="1"/>
  <c r="C138" i="2" s="1"/>
  <c r="H138" i="2" s="1"/>
  <c r="C29" i="2"/>
  <c r="L31" i="2"/>
  <c r="M31" i="2" s="1"/>
  <c r="C71" i="2" s="1"/>
  <c r="G71" i="2" s="1"/>
  <c r="K136" i="2"/>
  <c r="C158" i="2" s="1"/>
  <c r="H158" i="2" s="1"/>
  <c r="J121" i="2"/>
  <c r="K121" i="2" s="1"/>
  <c r="C142" i="2" s="1"/>
  <c r="H142" i="2" s="1"/>
  <c r="J42" i="2"/>
  <c r="M19" i="2" l="1"/>
  <c r="C40" i="2" s="1"/>
  <c r="G40" i="2" s="1"/>
  <c r="L40" i="2" s="1"/>
  <c r="M40" i="2" s="1"/>
  <c r="C80" i="2" s="1"/>
  <c r="G80" i="2" s="1"/>
  <c r="K139" i="2"/>
  <c r="C161" i="2" s="1"/>
  <c r="H161" i="2" s="1"/>
  <c r="J161" i="2" s="1"/>
  <c r="K161" i="2" s="1"/>
  <c r="K140" i="2"/>
  <c r="C162" i="2" s="1"/>
  <c r="H162" i="2" s="1"/>
  <c r="K133" i="2"/>
  <c r="C155" i="2" s="1"/>
  <c r="H155" i="2" s="1"/>
  <c r="J155" i="2" s="1"/>
  <c r="J144" i="2"/>
  <c r="K144" i="2" s="1"/>
  <c r="C166" i="2" s="1"/>
  <c r="H166" i="2" s="1"/>
  <c r="J124" i="2"/>
  <c r="C172" i="2" s="1"/>
  <c r="L79" i="2"/>
  <c r="M79" i="2" s="1"/>
  <c r="C99" i="2" s="1"/>
  <c r="G99" i="2" s="1"/>
  <c r="L76" i="2"/>
  <c r="M76" i="2" s="1"/>
  <c r="C96" i="2" s="1"/>
  <c r="G96" i="2" s="1"/>
  <c r="L71" i="2"/>
  <c r="M71" i="2" s="1"/>
  <c r="C91" i="2" s="1"/>
  <c r="G91" i="2" s="1"/>
  <c r="L90" i="2"/>
  <c r="M90" i="2" s="1"/>
  <c r="L78" i="2"/>
  <c r="M78" i="2" s="1"/>
  <c r="C98" i="2" s="1"/>
  <c r="G98" i="2" s="1"/>
  <c r="L97" i="2"/>
  <c r="M97" i="2" s="1"/>
  <c r="L74" i="2"/>
  <c r="M74" i="2" s="1"/>
  <c r="C94" i="2" s="1"/>
  <c r="G94" i="2" s="1"/>
  <c r="G29" i="2"/>
  <c r="L81" i="2"/>
  <c r="M81" i="2" s="1"/>
  <c r="C101" i="2" s="1"/>
  <c r="G101" i="2" s="1"/>
  <c r="L75" i="2"/>
  <c r="M75" i="2" s="1"/>
  <c r="C95" i="2" s="1"/>
  <c r="G95" i="2" s="1"/>
  <c r="E172" i="2"/>
  <c r="K137" i="2"/>
  <c r="C159" i="2" s="1"/>
  <c r="H159" i="2" s="1"/>
  <c r="J135" i="2"/>
  <c r="K135" i="2" s="1"/>
  <c r="C157" i="2" s="1"/>
  <c r="H157" i="2" s="1"/>
  <c r="J134" i="2"/>
  <c r="K134" i="2" s="1"/>
  <c r="C156" i="2" s="1"/>
  <c r="H156" i="2" s="1"/>
  <c r="J142" i="2"/>
  <c r="K142" i="2" s="1"/>
  <c r="C164" i="2" s="1"/>
  <c r="H164" i="2" s="1"/>
  <c r="J138" i="2"/>
  <c r="K138" i="2" s="1"/>
  <c r="C160" i="2" s="1"/>
  <c r="H160" i="2" s="1"/>
  <c r="L72" i="2"/>
  <c r="M72" i="2" s="1"/>
  <c r="C92" i="2" s="1"/>
  <c r="G92" i="2" s="1"/>
  <c r="K124" i="2"/>
  <c r="L93" i="2"/>
  <c r="M93" i="2" s="1"/>
  <c r="J158" i="2"/>
  <c r="K158" i="2" s="1"/>
  <c r="C145" i="2"/>
  <c r="H132" i="2"/>
  <c r="J143" i="2"/>
  <c r="K143" i="2" s="1"/>
  <c r="C165" i="2" s="1"/>
  <c r="H165" i="2" s="1"/>
  <c r="J163" i="2"/>
  <c r="K163" i="2" s="1"/>
  <c r="M21" i="2" l="1"/>
  <c r="C42" i="2"/>
  <c r="K155" i="2"/>
  <c r="J162" i="2"/>
  <c r="K162" i="2" s="1"/>
  <c r="J166" i="2"/>
  <c r="K166" i="2" s="1"/>
  <c r="J160" i="2"/>
  <c r="K160" i="2" s="1"/>
  <c r="J165" i="2"/>
  <c r="K165" i="2" s="1"/>
  <c r="J156" i="2"/>
  <c r="K156" i="2"/>
  <c r="L98" i="2"/>
  <c r="M98" i="2" s="1"/>
  <c r="L91" i="2"/>
  <c r="M91" i="2" s="1"/>
  <c r="L92" i="2"/>
  <c r="M92" i="2" s="1"/>
  <c r="J159" i="2"/>
  <c r="K159" i="2" s="1"/>
  <c r="L95" i="2"/>
  <c r="M95" i="2" s="1"/>
  <c r="L29" i="2"/>
  <c r="L42" i="2" s="1"/>
  <c r="D173" i="2" s="1"/>
  <c r="G42" i="2"/>
  <c r="L94" i="2"/>
  <c r="M94" i="2" s="1"/>
  <c r="L99" i="2"/>
  <c r="M99" i="2" s="1"/>
  <c r="L80" i="2"/>
  <c r="M80" i="2" s="1"/>
  <c r="C100" i="2" s="1"/>
  <c r="G100" i="2" s="1"/>
  <c r="J164" i="2"/>
  <c r="K164" i="2" s="1"/>
  <c r="J157" i="2"/>
  <c r="K157" i="2" s="1"/>
  <c r="G172" i="2"/>
  <c r="L101" i="2"/>
  <c r="M101" i="2" s="1"/>
  <c r="H145" i="2"/>
  <c r="J132" i="2"/>
  <c r="J145" i="2" s="1"/>
  <c r="C173" i="2" s="1"/>
  <c r="L96" i="2"/>
  <c r="M96" i="2" s="1"/>
  <c r="M29" i="2" l="1"/>
  <c r="M42" i="2" s="1"/>
  <c r="K132" i="2"/>
  <c r="C154" i="2" s="1"/>
  <c r="L100" i="2"/>
  <c r="M100" i="2" s="1"/>
  <c r="C69" i="2"/>
  <c r="H172" i="2"/>
  <c r="E173" i="2"/>
  <c r="K145" i="2" l="1"/>
  <c r="G173" i="2"/>
  <c r="J172" i="2"/>
  <c r="C167" i="2"/>
  <c r="H154" i="2"/>
  <c r="C82" i="2"/>
  <c r="G69" i="2"/>
  <c r="J154" i="2" l="1"/>
  <c r="J167" i="2" s="1"/>
  <c r="C174" i="2" s="1"/>
  <c r="C175" i="2" s="1"/>
  <c r="H167" i="2"/>
  <c r="G82" i="2"/>
  <c r="L69" i="2"/>
  <c r="L82" i="2" s="1"/>
  <c r="D174" i="2" s="1"/>
  <c r="M69" i="2"/>
  <c r="K172" i="2"/>
  <c r="H173" i="2"/>
  <c r="K154" i="2" l="1"/>
  <c r="K167" i="2" s="1"/>
  <c r="L172" i="2"/>
  <c r="C89" i="2"/>
  <c r="M82" i="2"/>
  <c r="J173" i="2"/>
  <c r="E174" i="2"/>
  <c r="D175" i="2"/>
  <c r="K173" i="2" l="1"/>
  <c r="N172" i="2"/>
  <c r="G174" i="2"/>
  <c r="E175" i="2"/>
  <c r="C102" i="2"/>
  <c r="G89" i="2"/>
  <c r="H174" i="2" l="1"/>
  <c r="G175" i="2"/>
  <c r="G102" i="2"/>
  <c r="L89" i="2"/>
  <c r="L102" i="2" s="1"/>
  <c r="P172" i="2"/>
  <c r="L173" i="2"/>
  <c r="Q172" i="2" l="1"/>
  <c r="M89" i="2"/>
  <c r="M102" i="2" s="1"/>
  <c r="J174" i="2"/>
  <c r="H175" i="2"/>
  <c r="N173" i="2"/>
  <c r="P173" i="2" l="1"/>
  <c r="K174" i="2"/>
  <c r="J175" i="2"/>
  <c r="L174" i="2" l="1"/>
  <c r="K175" i="2"/>
  <c r="Q173" i="2"/>
  <c r="N174" i="2" l="1"/>
  <c r="L175" i="2"/>
  <c r="P174" i="2" l="1"/>
  <c r="N175" i="2"/>
  <c r="Q174" i="2" l="1"/>
  <c r="Q175" i="2" s="1"/>
  <c r="C179" i="2" s="1"/>
  <c r="C180" i="2" s="1"/>
  <c r="P175" i="2"/>
  <c r="B28" i="1" s="1"/>
  <c r="B30" i="1" s="1"/>
  <c r="B32" i="1" s="1"/>
</calcChain>
</file>

<file path=xl/sharedStrings.xml><?xml version="1.0" encoding="utf-8"?>
<sst xmlns="http://schemas.openxmlformats.org/spreadsheetml/2006/main" count="368" uniqueCount="102">
  <si>
    <t>2018 using 2018 actual % claimed under the AII</t>
  </si>
  <si>
    <t>2019 Balance</t>
  </si>
  <si>
    <t>2020 Balance</t>
  </si>
  <si>
    <t>Total</t>
  </si>
  <si>
    <t>CCA under the legacy rules using the actual capital additions (a)</t>
  </si>
  <si>
    <t>CCA under the accelerated rules using the actual capital additions (b)</t>
  </si>
  <si>
    <t>Difference in CCA (c= a-b)</t>
  </si>
  <si>
    <t>Tax rate (%) in effect of 2015 CoS (d)</t>
  </si>
  <si>
    <t>$ Impact on the revenue requirement (e=cXd)</t>
  </si>
  <si>
    <t>Grossed-up Revenue Requirement Impact $ (f=e/1-d)</t>
  </si>
  <si>
    <t>Proration %</t>
  </si>
  <si>
    <t>Difference (h=f-g)</t>
  </si>
  <si>
    <t># of Years until next Cost of Service</t>
  </si>
  <si>
    <t>2018 - Accelerated CCA based on 2018 Actual Additions</t>
  </si>
  <si>
    <t>Cost of Additions</t>
  </si>
  <si>
    <t>Cost of additions</t>
  </si>
  <si>
    <t>Proceeds</t>
  </si>
  <si>
    <t>UCC</t>
  </si>
  <si>
    <t>UCC adjustment</t>
  </si>
  <si>
    <t xml:space="preserve">CCA </t>
  </si>
  <si>
    <t>CCA</t>
  </si>
  <si>
    <t xml:space="preserve">UCC </t>
  </si>
  <si>
    <t>Balance</t>
  </si>
  <si>
    <t xml:space="preserve">during the </t>
  </si>
  <si>
    <t>accelerated</t>
  </si>
  <si>
    <t>of</t>
  </si>
  <si>
    <t>2 + 3 - 5</t>
  </si>
  <si>
    <t>for accelerated</t>
  </si>
  <si>
    <t>for non accelerated</t>
  </si>
  <si>
    <t>%</t>
  </si>
  <si>
    <t>for the year</t>
  </si>
  <si>
    <t>Class</t>
  </si>
  <si>
    <t>year</t>
  </si>
  <si>
    <t xml:space="preserve">Cost </t>
  </si>
  <si>
    <t>Disposition</t>
  </si>
  <si>
    <t>by factor</t>
  </si>
  <si>
    <t>Buildings</t>
  </si>
  <si>
    <t>1b</t>
  </si>
  <si>
    <t>Buildings &gt; 18-03-17</t>
  </si>
  <si>
    <t>Electrical generating equipment</t>
  </si>
  <si>
    <t>Building &lt; 1990</t>
  </si>
  <si>
    <t>Office Equipment, Tools, Other</t>
  </si>
  <si>
    <t>Vehicles and Equipment</t>
  </si>
  <si>
    <t>Computer Software</t>
  </si>
  <si>
    <t>Goodwill</t>
  </si>
  <si>
    <t>Roads, parking lots</t>
  </si>
  <si>
    <t>Computers</t>
  </si>
  <si>
    <t>Transmission and Dist Equipment</t>
  </si>
  <si>
    <t>Computers &gt; 3/18/07</t>
  </si>
  <si>
    <t>2019 - Accelerated CCA based on 2019 Actual Additions</t>
  </si>
  <si>
    <t>2020 - Accelerated CCA based on 2020 Bridge Year Additions</t>
  </si>
  <si>
    <t>2021 - Accelerated CCA based on 2021 Test Year Additions</t>
  </si>
  <si>
    <t>2018 - CCA Schedule 8</t>
  </si>
  <si>
    <t>using legacy rules</t>
  </si>
  <si>
    <t>Adjustments</t>
  </si>
  <si>
    <t>50% Rule (1/2</t>
  </si>
  <si>
    <t>Transfers</t>
  </si>
  <si>
    <t>of the amount</t>
  </si>
  <si>
    <t>2 + 3 +4 - 5</t>
  </si>
  <si>
    <t>2019 - CCA Schedule 8</t>
  </si>
  <si>
    <t>2020 Bridge Year additions - CCA Schedule 8</t>
  </si>
  <si>
    <t>CCA calculated usin legacy rules on Actual additions</t>
  </si>
  <si>
    <t>Accelerated AII CCA using Actual Additions</t>
  </si>
  <si>
    <t>CCA Difference</t>
  </si>
  <si>
    <t>Tax Rate</t>
  </si>
  <si>
    <t>PILS not Grossed UP on CCA Difference</t>
  </si>
  <si>
    <t>PILS Grossed UP on CCA Difference</t>
  </si>
  <si>
    <t>Grossed up PILS included in NPEI's Revenue Requirement</t>
  </si>
  <si>
    <t>Difference in Pils grossed Up Available to reduce 2021 PILS</t>
  </si>
  <si>
    <t>Difference in Pils NOT grossed Up Available to reduce 2021 PILS</t>
  </si>
  <si>
    <t>Loss Carryforward to be used entered on B4 Sch 4 Loss Cfwd Bridge-OEB PILS model</t>
  </si>
  <si>
    <t># of Years Loss until next Cost of Service</t>
  </si>
  <si>
    <t>Loss Carry forwardAmount to be used in 2021 Test Year on T4 Sch 4 Loss Cfwd Test</t>
  </si>
  <si>
    <t>Reduction to 2021 Test Year PILS not Grossed UP</t>
  </si>
  <si>
    <t>Reduction to 2021 Test Year PILS Grossed UP</t>
  </si>
  <si>
    <t>CCA 2018 using Actual additions</t>
  </si>
  <si>
    <t xml:space="preserve">CCA 2019 </t>
  </si>
  <si>
    <t>2020 Bridge Year Additions</t>
  </si>
  <si>
    <t xml:space="preserve"> Non-capital loss using AII per tax return</t>
  </si>
  <si>
    <t>2021 Test Year PILS using Accelerated AII for CCA</t>
  </si>
  <si>
    <t>Reduction to 2021 Test Year PILS for 2018 to 2020 Accelerated AII CCA</t>
  </si>
  <si>
    <t>2021 Test Year PILS</t>
  </si>
  <si>
    <t>Note the $86,571 is equivalent to a rate rider over the Cost of Service Period of 5 Years</t>
  </si>
  <si>
    <t>Reduction to 2021 Test Year PILS Grossed Up</t>
  </si>
  <si>
    <t>Reduction to 2021 Test Year PILS Before Gross Up</t>
  </si>
  <si>
    <t>The Reduction to the 2021 Test Year PILS is equivalent to the following:</t>
  </si>
  <si>
    <t>CCA under the legacy rules using the 2015 approved capital additions (a)</t>
  </si>
  <si>
    <t>CCA under the accelerated rules using the 2015 approved capital additions (b)</t>
  </si>
  <si>
    <t>PILS grossed up Balance Calculated (g)</t>
  </si>
  <si>
    <t>NPEI Proposed Balance (h)</t>
  </si>
  <si>
    <t>The $238,188 will be the balance in Account 1592 before carrying charges to be disposed of on the DVA model for 2021</t>
  </si>
  <si>
    <t>Proposed PILS Settlement</t>
  </si>
  <si>
    <t>Balance Calculated in Account 1592(g)</t>
  </si>
  <si>
    <t>NPEI Balance included in Account 1592 to be disposed in 2021 Test Year (h)</t>
  </si>
  <si>
    <t>Residual  balance in Account 1592 to be disposed of over the number of years until next COS (h=f-g)</t>
  </si>
  <si>
    <t>The 2021 DVA model includes $244,577 in Account 1592 after carrying charges</t>
  </si>
  <si>
    <t>The Taxable Loss $168,689 for the 2020 Bridge Year previously filed in earlier PILS model versions, was removed on Sheet</t>
  </si>
  <si>
    <t xml:space="preserve">B1 Sch 1 Taxable Income Bridge in cell F8 on the OEB's PILS model so as not to Double count the impact from AII in the </t>
  </si>
  <si>
    <t>Bridge Year.  The $168,869 taxable loss in the Bridge Year is due to CCA of $11,153,815 in 2020 exceeding Depreciation</t>
  </si>
  <si>
    <t xml:space="preserve"> Expense of $8,163,410 in 2020.  This taxable loss has been already been accounted for in the reduction to 2021 PILS</t>
  </si>
  <si>
    <t>Per OEB Staff Pre-Clarification Questions</t>
  </si>
  <si>
    <t>Per NPEI Clarification Response-prior to PILS proposal for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</si>
</sst>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_);_(* \(#,##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164" fontId="0" fillId="3" borderId="1" xfId="1" applyNumberFormat="1" applyFont="1" applyFill="1" applyBorder="1" applyAlignment="1">
      <alignment wrapText="1"/>
    </xf>
    <xf numFmtId="164" fontId="0" fillId="3" borderId="1" xfId="1" applyNumberFormat="1" applyFont="1" applyFill="1" applyBorder="1"/>
    <xf numFmtId="164" fontId="0" fillId="0" borderId="1" xfId="0" applyNumberFormat="1" applyBorder="1"/>
    <xf numFmtId="0" fontId="0" fillId="4" borderId="1" xfId="0" applyFill="1" applyBorder="1" applyAlignment="1">
      <alignment wrapText="1"/>
    </xf>
    <xf numFmtId="164" fontId="0" fillId="4" borderId="1" xfId="1" applyNumberFormat="1" applyFont="1" applyFill="1" applyBorder="1"/>
    <xf numFmtId="165" fontId="0" fillId="3" borderId="1" xfId="2" applyNumberFormat="1" applyFont="1" applyFill="1" applyBorder="1"/>
    <xf numFmtId="165" fontId="0" fillId="3" borderId="2" xfId="2" applyNumberFormat="1" applyFont="1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wrapText="1"/>
    </xf>
    <xf numFmtId="10" fontId="0" fillId="3" borderId="1" xfId="0" applyNumberFormat="1" applyFill="1" applyBorder="1" applyAlignment="1">
      <alignment wrapText="1"/>
    </xf>
    <xf numFmtId="9" fontId="0" fillId="0" borderId="1" xfId="2" applyFont="1" applyFill="1" applyBorder="1"/>
    <xf numFmtId="164" fontId="0" fillId="0" borderId="1" xfId="1" applyNumberFormat="1" applyFont="1" applyFill="1" applyBorder="1"/>
    <xf numFmtId="0" fontId="0" fillId="6" borderId="1" xfId="0" applyFill="1" applyBorder="1" applyAlignment="1">
      <alignment wrapText="1"/>
    </xf>
    <xf numFmtId="164" fontId="0" fillId="6" borderId="1" xfId="0" applyNumberFormat="1" applyFill="1" applyBorder="1" applyAlignment="1">
      <alignment wrapText="1"/>
    </xf>
    <xf numFmtId="164" fontId="0" fillId="5" borderId="1" xfId="0" applyNumberFormat="1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quotePrefix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4" fontId="0" fillId="4" borderId="9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/>
    <xf numFmtId="0" fontId="0" fillId="3" borderId="7" xfId="0" applyFill="1" applyBorder="1"/>
    <xf numFmtId="164" fontId="0" fillId="3" borderId="0" xfId="1" applyNumberFormat="1" applyFont="1" applyFill="1" applyBorder="1"/>
    <xf numFmtId="164" fontId="0" fillId="3" borderId="0" xfId="0" applyNumberFormat="1" applyFill="1" applyBorder="1"/>
    <xf numFmtId="9" fontId="0" fillId="3" borderId="0" xfId="2" applyFont="1" applyFill="1" applyBorder="1"/>
    <xf numFmtId="164" fontId="0" fillId="3" borderId="7" xfId="0" applyNumberFormat="1" applyFill="1" applyBorder="1"/>
    <xf numFmtId="37" fontId="0" fillId="3" borderId="0" xfId="0" applyNumberFormat="1" applyFill="1" applyBorder="1"/>
    <xf numFmtId="0" fontId="0" fillId="0" borderId="11" xfId="0" applyBorder="1" applyAlignment="1">
      <alignment horizontal="center"/>
    </xf>
    <xf numFmtId="0" fontId="0" fillId="0" borderId="12" xfId="0" applyBorder="1"/>
    <xf numFmtId="164" fontId="0" fillId="0" borderId="13" xfId="1" applyNumberFormat="1" applyFont="1" applyBorder="1"/>
    <xf numFmtId="0" fontId="0" fillId="0" borderId="13" xfId="0" applyBorder="1"/>
    <xf numFmtId="164" fontId="0" fillId="8" borderId="13" xfId="0" applyNumberFormat="1" applyFill="1" applyBorder="1"/>
    <xf numFmtId="164" fontId="0" fillId="0" borderId="12" xfId="0" applyNumberFormat="1" applyBorder="1"/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1" applyNumberFormat="1" applyFont="1"/>
    <xf numFmtId="166" fontId="0" fillId="0" borderId="0" xfId="0" applyNumberFormat="1"/>
    <xf numFmtId="164" fontId="0" fillId="0" borderId="0" xfId="0" applyNumberFormat="1"/>
    <xf numFmtId="9" fontId="0" fillId="0" borderId="0" xfId="2" applyFont="1"/>
    <xf numFmtId="9" fontId="0" fillId="0" borderId="0" xfId="2" applyFont="1" applyFill="1"/>
    <xf numFmtId="164" fontId="0" fillId="0" borderId="14" xfId="1" applyNumberFormat="1" applyFont="1" applyBorder="1"/>
    <xf numFmtId="0" fontId="0" fillId="0" borderId="14" xfId="0" applyBorder="1"/>
    <xf numFmtId="164" fontId="0" fillId="8" borderId="14" xfId="0" applyNumberFormat="1" applyFill="1" applyBorder="1"/>
    <xf numFmtId="164" fontId="0" fillId="0" borderId="14" xfId="0" applyNumberFormat="1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 applyFill="1" applyBorder="1"/>
    <xf numFmtId="164" fontId="0" fillId="8" borderId="14" xfId="1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0" fillId="0" borderId="9" xfId="0" applyBorder="1"/>
    <xf numFmtId="164" fontId="0" fillId="0" borderId="9" xfId="0" applyNumberFormat="1" applyBorder="1"/>
    <xf numFmtId="164" fontId="0" fillId="9" borderId="14" xfId="0" applyNumberFormat="1" applyFill="1" applyBorder="1"/>
    <xf numFmtId="43" fontId="0" fillId="0" borderId="0" xfId="0" applyNumberFormat="1"/>
    <xf numFmtId="0" fontId="0" fillId="3" borderId="0" xfId="0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0" fontId="3" fillId="3" borderId="1" xfId="0" applyFont="1" applyFill="1" applyBorder="1"/>
    <xf numFmtId="0" fontId="4" fillId="3" borderId="1" xfId="0" applyFont="1" applyFill="1" applyBorder="1" applyAlignment="1">
      <alignment horizontal="left" wrapText="1"/>
    </xf>
    <xf numFmtId="164" fontId="4" fillId="3" borderId="1" xfId="0" applyNumberFormat="1" applyFont="1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/>
    <xf numFmtId="0" fontId="0" fillId="0" borderId="1" xfId="0" applyBorder="1" applyAlignment="1">
      <alignment horizontal="center"/>
    </xf>
    <xf numFmtId="10" fontId="0" fillId="3" borderId="1" xfId="2" applyNumberFormat="1" applyFont="1" applyFill="1" applyBorder="1"/>
    <xf numFmtId="9" fontId="0" fillId="3" borderId="1" xfId="2" applyFont="1" applyFill="1" applyBorder="1"/>
    <xf numFmtId="0" fontId="0" fillId="6" borderId="0" xfId="0" applyFill="1"/>
    <xf numFmtId="0" fontId="2" fillId="7" borderId="0" xfId="0" applyFont="1" applyFill="1" applyBorder="1" applyAlignment="1"/>
    <xf numFmtId="0" fontId="5" fillId="0" borderId="0" xfId="0" applyFont="1"/>
    <xf numFmtId="0" fontId="2" fillId="0" borderId="0" xfId="0" applyFont="1"/>
    <xf numFmtId="10" fontId="0" fillId="0" borderId="2" xfId="2" applyNumberFormat="1" applyFont="1" applyBorder="1"/>
    <xf numFmtId="164" fontId="0" fillId="6" borderId="2" xfId="0" applyNumberFormat="1" applyFill="1" applyBorder="1"/>
    <xf numFmtId="0" fontId="0" fillId="3" borderId="3" xfId="0" applyFill="1" applyBorder="1" applyAlignment="1">
      <alignment wrapText="1"/>
    </xf>
    <xf numFmtId="164" fontId="0" fillId="3" borderId="5" xfId="1" applyNumberFormat="1" applyFont="1" applyFill="1" applyBorder="1"/>
    <xf numFmtId="0" fontId="0" fillId="3" borderId="6" xfId="0" applyFill="1" applyBorder="1" applyAlignment="1">
      <alignment wrapText="1"/>
    </xf>
    <xf numFmtId="164" fontId="0" fillId="3" borderId="7" xfId="1" applyNumberFormat="1" applyFont="1" applyFill="1" applyBorder="1"/>
    <xf numFmtId="0" fontId="0" fillId="3" borderId="8" xfId="0" applyFill="1" applyBorder="1"/>
    <xf numFmtId="164" fontId="0" fillId="3" borderId="12" xfId="1" applyNumberFormat="1" applyFont="1" applyFill="1" applyBorder="1"/>
    <xf numFmtId="0" fontId="0" fillId="10" borderId="1" xfId="0" applyFill="1" applyBorder="1" applyAlignment="1">
      <alignment wrapText="1"/>
    </xf>
    <xf numFmtId="164" fontId="0" fillId="1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/>
    <xf numFmtId="164" fontId="0" fillId="11" borderId="14" xfId="0" applyNumberFormat="1" applyFill="1" applyBorder="1"/>
    <xf numFmtId="0" fontId="0" fillId="11" borderId="0" xfId="0" applyFill="1" applyAlignment="1">
      <alignment horizontal="center" wrapText="1"/>
    </xf>
    <xf numFmtId="164" fontId="0" fillId="11" borderId="0" xfId="0" applyNumberFormat="1" applyFill="1"/>
    <xf numFmtId="164" fontId="0" fillId="11" borderId="0" xfId="0" applyNumberFormat="1" applyFill="1" applyBorder="1"/>
    <xf numFmtId="0" fontId="5" fillId="9" borderId="0" xfId="0" applyFont="1" applyFill="1"/>
    <xf numFmtId="164" fontId="2" fillId="7" borderId="1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zanne\My%20Documents\Unzipped\2011%20Rate%20Appl%20%23%202\2011%20Rate%20Appl%20%23%202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2021%20COS%20rate%20application/Interrogatories/Niagara_Peninsula_Energy_Inc_IRR_2020_Filing_Requirements_Chapter2_Appendices_111920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2015%20COS%20Rate%20App/NPEI%20Files/Requirement%20Files/2015_Filing_Requirements_Chapter2_Appendices_201406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A_Capital Proj Updated"/>
      <sheetName val="App.2-AA_Cap Proj with carryfor"/>
      <sheetName val="App.2-AA_Cap Proj w CF no dispo"/>
      <sheetName val="App.2-AB_Capital Expenditures"/>
      <sheetName val="App.2-AB_Capital ExpendUndertak"/>
      <sheetName val="App. 2-AC_Customer Engagement"/>
      <sheetName val="App.2-B_Acct Instructions"/>
      <sheetName val="App.2-BA_Fixed Asset Cont 2011"/>
      <sheetName val="App.2-BA_Fixed Asset Cont 2012"/>
      <sheetName val="App.2-BA_FA Cont Component 2013"/>
      <sheetName val="App.2-BA_Fixed Asset Cont 2013"/>
      <sheetName val="App.2-BA_Fixed Asset 2013_Old "/>
      <sheetName val="App.2-BA_Fixed Projected 2014"/>
      <sheetName val="App.2-BA_Fixed Asset Cont2014"/>
      <sheetName val="App.2-BA_FixProjected 2014old"/>
      <sheetName val="App.2-BA_Fixed Asset 2014_Old"/>
      <sheetName val="App.2-BA_FixedAsset 2015"/>
      <sheetName val="App.2-BA_Fixed AssetUP Cont2015"/>
      <sheetName val="App.2-BA_Fixed AssetUP w CF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OldCGAAP_DepExp_2013"/>
      <sheetName val="App.2-CG_NewCGAAP_DepExp_2013"/>
      <sheetName val="App.2-CH_OldCGAAP_DepExp_2014"/>
      <sheetName val="App.2-CH_MIFRS_DepExp_2014"/>
      <sheetName val="App.2-CI MIFRS_DepExp_2015"/>
      <sheetName val="App.2-D_Overhead Updated"/>
      <sheetName val="App.2-D_Overhead"/>
      <sheetName val="App.2-EA_1575 (2015)"/>
      <sheetName val="App.2-EB_Account 1576 (2012)"/>
      <sheetName val="App.2-EC_Account 1576 (2013)"/>
      <sheetName val="App.2-EC_Account 1576UPDATED"/>
      <sheetName val="App.2-EC_Account 1576Projected"/>
      <sheetName val="App.2-FA Proposed REG Invest."/>
      <sheetName val="App.2-FB Calc of REG Improvemnt"/>
      <sheetName val="App.2-FC Calc of REG Expansion"/>
      <sheetName val="App.2-FA Proposed REG Inves (2"/>
      <sheetName val="App.2-FB Calc of REG Improv (2"/>
      <sheetName val="App.2-FC Calc of REG Expans (2"/>
      <sheetName val="App.2-G SQI"/>
      <sheetName val="App.2-I LF_CDM_WF_OLD"/>
      <sheetName val="App.2-H_Other_Oper_Rev"/>
      <sheetName val="App.2-H_Other_Oper_Rev (2)"/>
      <sheetName val="App.2-I LF_CDM_WF"/>
      <sheetName val="App.2-I LF_CDM_WFUpdated"/>
      <sheetName val="App.2-IA_Act_Frcst_Data"/>
      <sheetName val="App.2-IA_Act_Frcst_DataUpdated"/>
      <sheetName val="App.2-JA_OM&amp;A_Summary_Analys"/>
      <sheetName val="App.2-JA_OM&amp;A_Summary_Actuals"/>
      <sheetName val="App.2-JA_OM&amp;A_Sum_Oct_smart met"/>
      <sheetName val="App.2-JA_OM&amp;A_Sum_Oct_TC54EP"/>
      <sheetName val="App.2-JB_OM&amp;A_Cost _Drivers"/>
      <sheetName val="App.2-JB_OM&amp;A_Cost _Drivers (2"/>
      <sheetName val="App.2-JC_OMA Programs"/>
      <sheetName val="App.2-K_Employee Costs"/>
      <sheetName val="App.2-L_OM&amp;A_per_Cust_FTEE"/>
      <sheetName val="App.2-M_Regulatory_Costs"/>
      <sheetName val="App.2-M_Regulatory_CostsEP#2IRR"/>
      <sheetName val="App.2-N_Corp_Cost_Allocation"/>
      <sheetName val="App.2-OA Capital Structure"/>
      <sheetName val="App.2-OA Capital Structure (2)"/>
      <sheetName val="App.2-OB_Debt Instruments"/>
      <sheetName val="App.2-OB_Debt Instruments (2)"/>
      <sheetName val="App.2-P_Cost_Allocation 1 &amp;2"/>
      <sheetName val="App.2-P_Cost AllocationUpdated"/>
      <sheetName val="App.2-P_Cost AllocationUpda (2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V_Rev_ReconUndertaking"/>
      <sheetName val="App.2-W_Bill Impacts_Res"/>
      <sheetName val="App.2-W_Bill Impacts_GS&lt;50"/>
      <sheetName val="App.2-W_Bill Impacts_GS&gt;50"/>
      <sheetName val="App.2-W_Bill Impacts_USL"/>
      <sheetName val="App.2-W_Bill Impacts_Sentinel"/>
      <sheetName val="App.2-W_Bill Impacts_Streetligh"/>
      <sheetName val="App.2-Y_MIFRS Summary Impacts"/>
      <sheetName val="App. 2-Z_Tariff"/>
      <sheetName val="lists"/>
      <sheetName val="lists2"/>
      <sheetName val="Sheet19"/>
      <sheetName val="Sheet1"/>
    </sheetNames>
    <sheetDataSet>
      <sheetData sheetId="0">
        <row r="28">
          <cell r="E28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abSelected="1" workbookViewId="0">
      <selection activeCell="A2" sqref="A2"/>
    </sheetView>
  </sheetViews>
  <sheetFormatPr defaultRowHeight="15" x14ac:dyDescent="0.25"/>
  <cols>
    <col min="1" max="1" width="48.28515625" customWidth="1"/>
    <col min="2" max="5" width="13.42578125" customWidth="1"/>
  </cols>
  <sheetData>
    <row r="1" spans="1:5" x14ac:dyDescent="0.25">
      <c r="A1" s="92" t="s">
        <v>91</v>
      </c>
    </row>
    <row r="2" spans="1:5" ht="73.5" customHeight="1" x14ac:dyDescent="0.25">
      <c r="A2" s="1"/>
      <c r="B2" s="2" t="s">
        <v>0</v>
      </c>
      <c r="C2" s="4" t="s">
        <v>1</v>
      </c>
      <c r="D2" s="4" t="s">
        <v>2</v>
      </c>
      <c r="E2" s="4" t="s">
        <v>3</v>
      </c>
    </row>
    <row r="3" spans="1:5" ht="30" x14ac:dyDescent="0.25">
      <c r="A3" s="5" t="s">
        <v>4</v>
      </c>
      <c r="B3" s="6">
        <f>'PILS Settlement'!J124</f>
        <v>10397484.955000002</v>
      </c>
      <c r="C3" s="7">
        <f>'PILS Settlement'!J145</f>
        <v>10410893.37105</v>
      </c>
      <c r="D3" s="7">
        <f>'PILS Settlement'!J167</f>
        <v>10378417.605626501</v>
      </c>
      <c r="E3" s="8">
        <f>SUM(B3:D3)</f>
        <v>31186795.931676503</v>
      </c>
    </row>
    <row r="4" spans="1:5" ht="30" x14ac:dyDescent="0.25">
      <c r="A4" s="5" t="s">
        <v>5</v>
      </c>
      <c r="B4" s="6">
        <f>'PILS Settlement'!L21</f>
        <v>10445587.485000001</v>
      </c>
      <c r="C4" s="7">
        <f>'PILS Settlement'!L42</f>
        <v>11448593.48735</v>
      </c>
      <c r="D4" s="7">
        <f>'PILS Settlement'!L82</f>
        <v>11153814.822525499</v>
      </c>
      <c r="E4" s="8">
        <f>SUM(B4:D4)</f>
        <v>33047995.794875503</v>
      </c>
    </row>
    <row r="5" spans="1:5" x14ac:dyDescent="0.25">
      <c r="A5" s="9" t="s">
        <v>6</v>
      </c>
      <c r="B5" s="10">
        <f>B3-B4</f>
        <v>-48102.529999999329</v>
      </c>
      <c r="C5" s="10">
        <f t="shared" ref="C5:E5" si="0">C3-C4</f>
        <v>-1037700.1162999999</v>
      </c>
      <c r="D5" s="10">
        <f t="shared" si="0"/>
        <v>-775397.21689899825</v>
      </c>
      <c r="E5" s="10">
        <f t="shared" si="0"/>
        <v>-1861199.8631989993</v>
      </c>
    </row>
    <row r="6" spans="1:5" x14ac:dyDescent="0.25">
      <c r="A6" s="5" t="s">
        <v>7</v>
      </c>
      <c r="B6" s="11">
        <v>0.26500000000000001</v>
      </c>
      <c r="C6" s="11">
        <v>0.26500000000000001</v>
      </c>
      <c r="D6" s="11">
        <v>0.26500000000000001</v>
      </c>
      <c r="E6" s="12">
        <v>0.26500000000000001</v>
      </c>
    </row>
    <row r="7" spans="1:5" ht="30" x14ac:dyDescent="0.25">
      <c r="A7" s="5" t="s">
        <v>8</v>
      </c>
      <c r="B7" s="13">
        <f>B5*B6</f>
        <v>-12747.170449999823</v>
      </c>
      <c r="C7" s="13">
        <f t="shared" ref="C7:E7" si="1">C5*C6</f>
        <v>-274990.53081949998</v>
      </c>
      <c r="D7" s="13">
        <f t="shared" si="1"/>
        <v>-205480.26247823454</v>
      </c>
      <c r="E7" s="13">
        <f t="shared" si="1"/>
        <v>-493217.96374773484</v>
      </c>
    </row>
    <row r="8" spans="1:5" ht="30" x14ac:dyDescent="0.25">
      <c r="A8" s="103" t="s">
        <v>9</v>
      </c>
      <c r="B8" s="17">
        <f>B7/(1-B6)</f>
        <v>-17343.089047618807</v>
      </c>
      <c r="C8" s="17">
        <f t="shared" ref="C8:E8" si="2">C7/(1-C6)</f>
        <v>-374136.77662517002</v>
      </c>
      <c r="D8" s="17">
        <f t="shared" si="2"/>
        <v>-279564.98296358442</v>
      </c>
      <c r="E8" s="17">
        <f t="shared" si="2"/>
        <v>-671044.84863637399</v>
      </c>
    </row>
    <row r="9" spans="1:5" x14ac:dyDescent="0.25">
      <c r="A9" s="5" t="s">
        <v>10</v>
      </c>
      <c r="B9" s="15">
        <v>0.10680000000000001</v>
      </c>
      <c r="C9" s="16">
        <v>1</v>
      </c>
      <c r="D9" s="16">
        <v>1</v>
      </c>
      <c r="E9" s="93"/>
    </row>
    <row r="10" spans="1:5" x14ac:dyDescent="0.25">
      <c r="A10" s="101" t="s">
        <v>92</v>
      </c>
      <c r="B10" s="102">
        <f>B8</f>
        <v>-17343.089047618807</v>
      </c>
      <c r="C10" s="102">
        <f t="shared" ref="C10:D10" si="3">C9*C8</f>
        <v>-374136.77662517002</v>
      </c>
      <c r="D10" s="102">
        <f t="shared" si="3"/>
        <v>-279564.98296358442</v>
      </c>
      <c r="E10" s="102">
        <f>SUM(B10:D10)</f>
        <v>-671044.84863637318</v>
      </c>
    </row>
    <row r="11" spans="1:5" ht="30" x14ac:dyDescent="0.25">
      <c r="A11" s="18" t="s">
        <v>93</v>
      </c>
      <c r="B11" s="19">
        <f>'Before Settlement'!B26</f>
        <v>-19874.305445008897</v>
      </c>
      <c r="C11" s="19">
        <f>'Before Settlement'!C26</f>
        <v>-109157</v>
      </c>
      <c r="D11" s="19">
        <f>'Before Settlement'!D26</f>
        <v>-109157</v>
      </c>
      <c r="E11" s="94">
        <f>SUM(B11:D11)</f>
        <v>-238188.30544500891</v>
      </c>
    </row>
    <row r="12" spans="1:5" ht="30" x14ac:dyDescent="0.25">
      <c r="A12" s="14" t="s">
        <v>94</v>
      </c>
      <c r="B12" s="20">
        <f>B10-B11</f>
        <v>2531.2163973900897</v>
      </c>
      <c r="C12" s="20">
        <f t="shared" ref="C12:E12" si="4">C10-C11</f>
        <v>-264979.77662517002</v>
      </c>
      <c r="D12" s="20">
        <f t="shared" si="4"/>
        <v>-170407.98296358442</v>
      </c>
      <c r="E12" s="20">
        <f t="shared" si="4"/>
        <v>-432856.54319136427</v>
      </c>
    </row>
    <row r="13" spans="1:5" x14ac:dyDescent="0.25">
      <c r="A13" s="5" t="s">
        <v>12</v>
      </c>
      <c r="B13" s="21"/>
      <c r="C13" s="21"/>
      <c r="D13" s="21"/>
      <c r="E13" s="21">
        <v>5</v>
      </c>
    </row>
    <row r="14" spans="1:5" x14ac:dyDescent="0.25">
      <c r="A14" s="84" t="s">
        <v>83</v>
      </c>
      <c r="B14" s="85"/>
      <c r="C14" s="85"/>
      <c r="D14" s="85"/>
      <c r="E14" s="110">
        <f>E12/E13</f>
        <v>-86571.308638272851</v>
      </c>
    </row>
    <row r="16" spans="1:5" x14ac:dyDescent="0.25">
      <c r="A16" s="90" t="s">
        <v>82</v>
      </c>
      <c r="B16" s="90"/>
      <c r="C16" s="90"/>
    </row>
    <row r="17" spans="1:5" x14ac:dyDescent="0.25">
      <c r="A17" s="89" t="s">
        <v>90</v>
      </c>
      <c r="B17" s="89"/>
      <c r="C17" s="89"/>
      <c r="D17" s="89"/>
      <c r="E17" s="89"/>
    </row>
    <row r="18" spans="1:5" x14ac:dyDescent="0.25">
      <c r="A18" s="104" t="s">
        <v>95</v>
      </c>
      <c r="B18" s="104"/>
      <c r="C18" s="104"/>
      <c r="D18" s="104"/>
      <c r="E18" s="104"/>
    </row>
    <row r="19" spans="1:5" x14ac:dyDescent="0.25">
      <c r="A19" s="104"/>
      <c r="B19" s="104"/>
      <c r="C19" s="104"/>
      <c r="D19" s="104"/>
      <c r="E19" s="104"/>
    </row>
    <row r="20" spans="1:5" x14ac:dyDescent="0.25">
      <c r="A20" s="109" t="s">
        <v>96</v>
      </c>
      <c r="B20" s="109"/>
      <c r="C20" s="109"/>
      <c r="D20" s="109"/>
      <c r="E20" s="109"/>
    </row>
    <row r="21" spans="1:5" x14ac:dyDescent="0.25">
      <c r="A21" s="109" t="s">
        <v>97</v>
      </c>
      <c r="B21" s="109"/>
      <c r="C21" s="109"/>
      <c r="D21" s="109"/>
      <c r="E21" s="109"/>
    </row>
    <row r="22" spans="1:5" x14ac:dyDescent="0.25">
      <c r="A22" s="109" t="s">
        <v>98</v>
      </c>
      <c r="B22" s="109"/>
      <c r="C22" s="109"/>
      <c r="D22" s="109"/>
      <c r="E22" s="109"/>
    </row>
    <row r="23" spans="1:5" x14ac:dyDescent="0.25">
      <c r="A23" s="109" t="s">
        <v>99</v>
      </c>
      <c r="B23" s="109"/>
      <c r="C23" s="109"/>
      <c r="D23" s="109"/>
      <c r="E23" s="109"/>
    </row>
    <row r="25" spans="1:5" x14ac:dyDescent="0.25">
      <c r="A25" s="91" t="s">
        <v>85</v>
      </c>
    </row>
    <row r="27" spans="1:5" x14ac:dyDescent="0.25">
      <c r="A27" s="78" t="s">
        <v>83</v>
      </c>
      <c r="B27" s="80">
        <f>E14</f>
        <v>-86571.308638272851</v>
      </c>
    </row>
    <row r="28" spans="1:5" x14ac:dyDescent="0.25">
      <c r="A28" s="78" t="s">
        <v>84</v>
      </c>
      <c r="B28" s="80">
        <f>'PILS Settlement'!P175</f>
        <v>63629.911849130556</v>
      </c>
    </row>
    <row r="29" spans="1:5" x14ac:dyDescent="0.25">
      <c r="A29" s="79" t="s">
        <v>64</v>
      </c>
      <c r="B29" s="81">
        <v>0.26500000000000001</v>
      </c>
    </row>
    <row r="30" spans="1:5" ht="30" x14ac:dyDescent="0.25">
      <c r="A30" s="78" t="s">
        <v>72</v>
      </c>
      <c r="B30" s="80">
        <f>B28/B29</f>
        <v>240112.87490237944</v>
      </c>
    </row>
    <row r="31" spans="1:5" x14ac:dyDescent="0.25">
      <c r="A31" s="78" t="s">
        <v>12</v>
      </c>
      <c r="B31" s="81">
        <v>5</v>
      </c>
    </row>
    <row r="32" spans="1:5" ht="30" x14ac:dyDescent="0.25">
      <c r="A32" s="82" t="s">
        <v>70</v>
      </c>
      <c r="B32" s="83">
        <f>B30*B31</f>
        <v>1200564.3745118971</v>
      </c>
    </row>
  </sheetData>
  <pageMargins left="0.43" right="0.3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1"/>
  <sheetViews>
    <sheetView topLeftCell="G152" workbookViewId="0">
      <selection activeCell="C179" sqref="C179"/>
    </sheetView>
  </sheetViews>
  <sheetFormatPr defaultRowHeight="15" outlineLevelRow="1" x14ac:dyDescent="0.25"/>
  <cols>
    <col min="2" max="2" width="36.42578125" customWidth="1"/>
    <col min="3" max="3" width="14.28515625" bestFit="1" customWidth="1"/>
    <col min="4" max="4" width="16.28515625" bestFit="1" customWidth="1"/>
    <col min="5" max="5" width="16" bestFit="1" customWidth="1"/>
    <col min="6" max="6" width="12.28515625" bestFit="1" customWidth="1"/>
    <col min="7" max="7" width="13.7109375" bestFit="1" customWidth="1"/>
    <col min="8" max="9" width="15.28515625" bestFit="1" customWidth="1"/>
    <col min="10" max="11" width="18.42578125" bestFit="1" customWidth="1"/>
    <col min="12" max="12" width="15.28515625" bestFit="1" customWidth="1"/>
    <col min="13" max="13" width="14" bestFit="1" customWidth="1"/>
    <col min="14" max="14" width="17.85546875" bestFit="1" customWidth="1"/>
    <col min="15" max="15" width="8.42578125" bestFit="1" customWidth="1"/>
    <col min="16" max="16" width="12.28515625" bestFit="1" customWidth="1"/>
    <col min="17" max="17" width="10" bestFit="1" customWidth="1"/>
    <col min="18" max="18" width="11.28515625" bestFit="1" customWidth="1"/>
    <col min="19" max="19" width="12.5703125" bestFit="1" customWidth="1"/>
  </cols>
  <sheetData>
    <row r="2" spans="1:13" collapsed="1" x14ac:dyDescent="0.25">
      <c r="A2" s="22"/>
      <c r="B2" s="23" t="s">
        <v>13</v>
      </c>
    </row>
    <row r="3" spans="1:13" s="22" customFormat="1" x14ac:dyDescent="0.25">
      <c r="A3" s="24"/>
      <c r="B3" s="25"/>
      <c r="C3" s="25">
        <v>2</v>
      </c>
      <c r="D3" s="25">
        <v>3</v>
      </c>
      <c r="E3" s="25">
        <v>4</v>
      </c>
      <c r="F3" s="25">
        <v>8</v>
      </c>
      <c r="G3" s="25">
        <v>9</v>
      </c>
      <c r="H3" s="25">
        <v>11</v>
      </c>
      <c r="I3" s="25">
        <v>12</v>
      </c>
      <c r="J3" s="25">
        <v>13</v>
      </c>
      <c r="K3" s="25">
        <v>14</v>
      </c>
      <c r="L3" s="25">
        <v>17</v>
      </c>
      <c r="M3" s="26">
        <v>18</v>
      </c>
    </row>
    <row r="4" spans="1:13" s="22" customFormat="1" x14ac:dyDescent="0.25">
      <c r="A4" s="27"/>
      <c r="B4" s="28"/>
      <c r="C4" s="28"/>
      <c r="D4" s="28" t="s">
        <v>14</v>
      </c>
      <c r="E4" s="28" t="s">
        <v>15</v>
      </c>
      <c r="F4" s="28" t="s">
        <v>16</v>
      </c>
      <c r="G4" s="28" t="s">
        <v>17</v>
      </c>
      <c r="H4" s="28" t="s">
        <v>18</v>
      </c>
      <c r="I4" s="28" t="s">
        <v>18</v>
      </c>
      <c r="J4" s="28" t="s">
        <v>18</v>
      </c>
      <c r="K4" s="28" t="s">
        <v>19</v>
      </c>
      <c r="L4" s="28" t="s">
        <v>20</v>
      </c>
      <c r="M4" s="29" t="s">
        <v>21</v>
      </c>
    </row>
    <row r="5" spans="1:13" s="22" customFormat="1" x14ac:dyDescent="0.25">
      <c r="A5" s="27"/>
      <c r="B5" s="28"/>
      <c r="C5" s="28" t="s">
        <v>22</v>
      </c>
      <c r="D5" s="28" t="s">
        <v>23</v>
      </c>
      <c r="E5" s="28" t="s">
        <v>24</v>
      </c>
      <c r="F5" s="28" t="s">
        <v>25</v>
      </c>
      <c r="G5" s="30" t="s">
        <v>26</v>
      </c>
      <c r="H5" s="28" t="s">
        <v>27</v>
      </c>
      <c r="I5" s="28" t="s">
        <v>27</v>
      </c>
      <c r="J5" s="28" t="s">
        <v>28</v>
      </c>
      <c r="K5" s="28" t="s">
        <v>29</v>
      </c>
      <c r="L5" s="28" t="s">
        <v>30</v>
      </c>
      <c r="M5" s="29" t="s">
        <v>22</v>
      </c>
    </row>
    <row r="6" spans="1:13" s="22" customFormat="1" x14ac:dyDescent="0.25">
      <c r="A6" s="31" t="s">
        <v>31</v>
      </c>
      <c r="B6" s="32"/>
      <c r="C6" s="33">
        <v>43100</v>
      </c>
      <c r="D6" s="32" t="s">
        <v>32</v>
      </c>
      <c r="E6" s="32" t="s">
        <v>33</v>
      </c>
      <c r="F6" s="32" t="s">
        <v>34</v>
      </c>
      <c r="G6" s="32"/>
      <c r="H6" s="32" t="s">
        <v>20</v>
      </c>
      <c r="I6" s="32" t="s">
        <v>35</v>
      </c>
      <c r="J6" s="32" t="s">
        <v>20</v>
      </c>
      <c r="K6" s="32"/>
      <c r="L6" s="32"/>
      <c r="M6" s="34">
        <v>43465</v>
      </c>
    </row>
    <row r="7" spans="1:13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3" x14ac:dyDescent="0.25">
      <c r="A8" s="35">
        <v>1</v>
      </c>
      <c r="B8" s="36" t="s">
        <v>36</v>
      </c>
      <c r="C8" s="38">
        <v>48669733</v>
      </c>
      <c r="D8" s="36"/>
      <c r="E8" s="36"/>
      <c r="F8" s="36"/>
      <c r="G8" s="39">
        <f t="shared" ref="G8:G18" si="0">C8+D8-F8</f>
        <v>48669733</v>
      </c>
      <c r="H8" s="38">
        <f t="shared" ref="H8:H20" si="1">E8</f>
        <v>0</v>
      </c>
      <c r="I8" s="38"/>
      <c r="J8" s="38"/>
      <c r="K8" s="40">
        <v>0.04</v>
      </c>
      <c r="L8" s="39">
        <f t="shared" ref="L8:L20" si="2">(G8+I8-J8)*K8</f>
        <v>1946789.32</v>
      </c>
      <c r="M8" s="41">
        <f t="shared" ref="M8:M20" si="3">G8-L8</f>
        <v>46722943.68</v>
      </c>
    </row>
    <row r="9" spans="1:13" x14ac:dyDescent="0.25">
      <c r="A9" s="35" t="s">
        <v>37</v>
      </c>
      <c r="B9" s="36" t="s">
        <v>36</v>
      </c>
      <c r="C9" s="38">
        <v>3193329</v>
      </c>
      <c r="D9" s="36"/>
      <c r="E9" s="36"/>
      <c r="F9" s="36"/>
      <c r="G9" s="39">
        <f t="shared" si="0"/>
        <v>3193329</v>
      </c>
      <c r="H9" s="38">
        <f t="shared" si="1"/>
        <v>0</v>
      </c>
      <c r="I9" s="38"/>
      <c r="J9" s="38"/>
      <c r="K9" s="40">
        <v>0.06</v>
      </c>
      <c r="L9" s="39">
        <f t="shared" si="2"/>
        <v>191599.74</v>
      </c>
      <c r="M9" s="41">
        <f t="shared" si="3"/>
        <v>3001729.26</v>
      </c>
    </row>
    <row r="10" spans="1:13" x14ac:dyDescent="0.25">
      <c r="A10" s="35" t="s">
        <v>37</v>
      </c>
      <c r="B10" s="36" t="s">
        <v>38</v>
      </c>
      <c r="C10" s="38">
        <v>3880144</v>
      </c>
      <c r="D10" s="42">
        <v>1024864</v>
      </c>
      <c r="E10" s="42">
        <v>302452</v>
      </c>
      <c r="F10" s="36"/>
      <c r="G10" s="39">
        <f t="shared" si="0"/>
        <v>4905008</v>
      </c>
      <c r="H10" s="38">
        <f t="shared" si="1"/>
        <v>302452</v>
      </c>
      <c r="I10" s="38">
        <f>H10*0.5</f>
        <v>151226</v>
      </c>
      <c r="J10" s="38">
        <f>(D10-H10)*0.5</f>
        <v>361206</v>
      </c>
      <c r="K10" s="40">
        <v>0.06</v>
      </c>
      <c r="L10" s="39">
        <f t="shared" si="2"/>
        <v>281701.68</v>
      </c>
      <c r="M10" s="41">
        <f t="shared" si="3"/>
        <v>4623306.32</v>
      </c>
    </row>
    <row r="11" spans="1:13" x14ac:dyDescent="0.25">
      <c r="A11" s="35">
        <v>2</v>
      </c>
      <c r="B11" s="36" t="s">
        <v>39</v>
      </c>
      <c r="C11" s="38">
        <v>2836688</v>
      </c>
      <c r="D11" s="42"/>
      <c r="E11" s="42"/>
      <c r="F11" s="36"/>
      <c r="G11" s="39">
        <f t="shared" si="0"/>
        <v>2836688</v>
      </c>
      <c r="H11" s="38">
        <f t="shared" si="1"/>
        <v>0</v>
      </c>
      <c r="I11" s="38">
        <f t="shared" ref="I11:I14" si="4">H11*0.5</f>
        <v>0</v>
      </c>
      <c r="J11" s="38"/>
      <c r="K11" s="40">
        <v>0.06</v>
      </c>
      <c r="L11" s="39">
        <f t="shared" si="2"/>
        <v>170201.28</v>
      </c>
      <c r="M11" s="41">
        <f t="shared" si="3"/>
        <v>2666486.7200000002</v>
      </c>
    </row>
    <row r="12" spans="1:13" x14ac:dyDescent="0.25">
      <c r="A12" s="35">
        <v>3</v>
      </c>
      <c r="B12" s="36" t="s">
        <v>40</v>
      </c>
      <c r="C12" s="38">
        <v>1038720</v>
      </c>
      <c r="D12" s="42"/>
      <c r="E12" s="42"/>
      <c r="F12" s="36"/>
      <c r="G12" s="39">
        <f t="shared" si="0"/>
        <v>1038720</v>
      </c>
      <c r="H12" s="38">
        <f t="shared" si="1"/>
        <v>0</v>
      </c>
      <c r="I12" s="38">
        <f t="shared" si="4"/>
        <v>0</v>
      </c>
      <c r="J12" s="38"/>
      <c r="K12" s="40">
        <v>0.05</v>
      </c>
      <c r="L12" s="39">
        <f t="shared" si="2"/>
        <v>51936</v>
      </c>
      <c r="M12" s="41">
        <f t="shared" si="3"/>
        <v>986784</v>
      </c>
    </row>
    <row r="13" spans="1:13" x14ac:dyDescent="0.25">
      <c r="A13" s="35">
        <v>8</v>
      </c>
      <c r="B13" s="36" t="s">
        <v>41</v>
      </c>
      <c r="C13" s="38">
        <v>1283260</v>
      </c>
      <c r="D13" s="42">
        <v>318683</v>
      </c>
      <c r="E13" s="42">
        <v>23039</v>
      </c>
      <c r="F13" s="36"/>
      <c r="G13" s="39">
        <f t="shared" si="0"/>
        <v>1601943</v>
      </c>
      <c r="H13" s="38">
        <f t="shared" si="1"/>
        <v>23039</v>
      </c>
      <c r="I13" s="38">
        <f t="shared" si="4"/>
        <v>11519.5</v>
      </c>
      <c r="J13" s="38">
        <f>(D13-H13)*0.5</f>
        <v>147822</v>
      </c>
      <c r="K13" s="40">
        <v>0.2</v>
      </c>
      <c r="L13" s="39">
        <f t="shared" si="2"/>
        <v>293128.10000000003</v>
      </c>
      <c r="M13" s="41">
        <f t="shared" si="3"/>
        <v>1308814.8999999999</v>
      </c>
    </row>
    <row r="14" spans="1:13" x14ac:dyDescent="0.25">
      <c r="A14" s="35">
        <v>10</v>
      </c>
      <c r="B14" s="36" t="s">
        <v>42</v>
      </c>
      <c r="C14" s="38">
        <v>2434193</v>
      </c>
      <c r="D14" s="42">
        <v>518258</v>
      </c>
      <c r="E14" s="42">
        <v>0</v>
      </c>
      <c r="F14" s="36">
        <v>5133</v>
      </c>
      <c r="G14" s="39">
        <f t="shared" si="0"/>
        <v>2947318</v>
      </c>
      <c r="H14" s="38">
        <f t="shared" si="1"/>
        <v>0</v>
      </c>
      <c r="I14" s="38">
        <f t="shared" si="4"/>
        <v>0</v>
      </c>
      <c r="J14" s="38">
        <f>(D14-F14-H14)*0.5</f>
        <v>256562.5</v>
      </c>
      <c r="K14" s="40">
        <v>0.3</v>
      </c>
      <c r="L14" s="39">
        <f t="shared" si="2"/>
        <v>807226.65</v>
      </c>
      <c r="M14" s="41">
        <f t="shared" si="3"/>
        <v>2140091.35</v>
      </c>
    </row>
    <row r="15" spans="1:13" x14ac:dyDescent="0.25">
      <c r="A15" s="35">
        <v>12</v>
      </c>
      <c r="B15" s="36" t="s">
        <v>43</v>
      </c>
      <c r="C15" s="38">
        <v>355448</v>
      </c>
      <c r="D15" s="42">
        <v>288891</v>
      </c>
      <c r="E15" s="42">
        <v>146406</v>
      </c>
      <c r="F15" s="36"/>
      <c r="G15" s="39">
        <f t="shared" si="0"/>
        <v>644339</v>
      </c>
      <c r="H15" s="38">
        <f t="shared" si="1"/>
        <v>146406</v>
      </c>
      <c r="I15" s="38">
        <v>0</v>
      </c>
      <c r="J15" s="38">
        <f>(D15-H15)*0.5</f>
        <v>71242.5</v>
      </c>
      <c r="K15" s="40">
        <v>1</v>
      </c>
      <c r="L15" s="39">
        <f t="shared" si="2"/>
        <v>573096.5</v>
      </c>
      <c r="M15" s="41">
        <f t="shared" si="3"/>
        <v>71242.5</v>
      </c>
    </row>
    <row r="16" spans="1:13" x14ac:dyDescent="0.25">
      <c r="A16" s="35">
        <v>14.1</v>
      </c>
      <c r="B16" s="36" t="s">
        <v>44</v>
      </c>
      <c r="C16" s="38">
        <v>730478</v>
      </c>
      <c r="D16" s="42"/>
      <c r="E16" s="42"/>
      <c r="F16" s="36"/>
      <c r="G16" s="39">
        <f t="shared" si="0"/>
        <v>730478</v>
      </c>
      <c r="H16" s="38">
        <f t="shared" si="1"/>
        <v>0</v>
      </c>
      <c r="I16" s="38">
        <f t="shared" ref="I16:I20" si="5">H16*0.5</f>
        <v>0</v>
      </c>
      <c r="J16" s="38"/>
      <c r="K16" s="40">
        <v>7.0000000000000007E-2</v>
      </c>
      <c r="L16" s="39">
        <f t="shared" si="2"/>
        <v>51133.460000000006</v>
      </c>
      <c r="M16" s="41">
        <f t="shared" si="3"/>
        <v>679344.54</v>
      </c>
    </row>
    <row r="17" spans="1:13" x14ac:dyDescent="0.25">
      <c r="A17" s="35">
        <v>17</v>
      </c>
      <c r="B17" s="36" t="s">
        <v>45</v>
      </c>
      <c r="C17" s="38">
        <v>202315</v>
      </c>
      <c r="D17" s="42"/>
      <c r="E17" s="42"/>
      <c r="F17" s="36"/>
      <c r="G17" s="39">
        <f t="shared" si="0"/>
        <v>202315</v>
      </c>
      <c r="H17" s="38">
        <f t="shared" si="1"/>
        <v>0</v>
      </c>
      <c r="I17" s="38">
        <f t="shared" si="5"/>
        <v>0</v>
      </c>
      <c r="J17" s="38"/>
      <c r="K17" s="40">
        <v>0.08</v>
      </c>
      <c r="L17" s="39">
        <f t="shared" si="2"/>
        <v>16185.2</v>
      </c>
      <c r="M17" s="41">
        <f t="shared" si="3"/>
        <v>186129.8</v>
      </c>
    </row>
    <row r="18" spans="1:13" x14ac:dyDescent="0.25">
      <c r="A18" s="35">
        <v>45</v>
      </c>
      <c r="B18" s="36" t="s">
        <v>46</v>
      </c>
      <c r="C18" s="38">
        <v>259</v>
      </c>
      <c r="D18" s="42"/>
      <c r="E18" s="42"/>
      <c r="F18" s="36"/>
      <c r="G18" s="39">
        <f t="shared" si="0"/>
        <v>259</v>
      </c>
      <c r="H18" s="38">
        <f t="shared" si="1"/>
        <v>0</v>
      </c>
      <c r="I18" s="38">
        <f t="shared" si="5"/>
        <v>0</v>
      </c>
      <c r="J18" s="38"/>
      <c r="K18" s="40">
        <v>0.45</v>
      </c>
      <c r="L18" s="39">
        <f t="shared" si="2"/>
        <v>116.55</v>
      </c>
      <c r="M18" s="41">
        <f t="shared" si="3"/>
        <v>142.44999999999999</v>
      </c>
    </row>
    <row r="19" spans="1:13" x14ac:dyDescent="0.25">
      <c r="A19" s="35">
        <v>47</v>
      </c>
      <c r="B19" s="36" t="s">
        <v>47</v>
      </c>
      <c r="C19" s="38">
        <v>68927140</v>
      </c>
      <c r="D19" s="42">
        <f>9993141</f>
        <v>9993141</v>
      </c>
      <c r="E19" s="42">
        <v>847768</v>
      </c>
      <c r="F19" s="36"/>
      <c r="G19" s="39">
        <f>C19+D19-F19-2471485</f>
        <v>76448796</v>
      </c>
      <c r="H19" s="38">
        <f t="shared" si="1"/>
        <v>847768</v>
      </c>
      <c r="I19" s="38">
        <f t="shared" si="5"/>
        <v>423884</v>
      </c>
      <c r="J19" s="38">
        <f>(D19-H19)*0.5</f>
        <v>4572686.5</v>
      </c>
      <c r="K19" s="40">
        <v>0.08</v>
      </c>
      <c r="L19" s="39">
        <f t="shared" si="2"/>
        <v>5783999.4800000004</v>
      </c>
      <c r="M19" s="41">
        <f t="shared" si="3"/>
        <v>70664796.519999996</v>
      </c>
    </row>
    <row r="20" spans="1:13" x14ac:dyDescent="0.25">
      <c r="A20" s="35">
        <v>50</v>
      </c>
      <c r="B20" s="36" t="s">
        <v>48</v>
      </c>
      <c r="C20" s="38">
        <v>344053</v>
      </c>
      <c r="D20" s="42">
        <v>304037</v>
      </c>
      <c r="E20" s="42">
        <v>10254</v>
      </c>
      <c r="F20" s="36"/>
      <c r="G20" s="39">
        <f>C20+D20-F20-20</f>
        <v>648070</v>
      </c>
      <c r="H20" s="38">
        <f t="shared" si="1"/>
        <v>10254</v>
      </c>
      <c r="I20" s="38">
        <f t="shared" si="5"/>
        <v>5127</v>
      </c>
      <c r="J20" s="38">
        <f>(D20-H20-F20)*0.5-10</f>
        <v>146881.5</v>
      </c>
      <c r="K20" s="40">
        <v>0.55000000000000004</v>
      </c>
      <c r="L20" s="39">
        <f t="shared" si="2"/>
        <v>278473.52500000002</v>
      </c>
      <c r="M20" s="41">
        <f t="shared" si="3"/>
        <v>369596.47499999998</v>
      </c>
    </row>
    <row r="21" spans="1:13" x14ac:dyDescent="0.25">
      <c r="A21" s="43"/>
      <c r="B21" s="44"/>
      <c r="C21" s="45">
        <f>SUM(C8:C20)</f>
        <v>133895760</v>
      </c>
      <c r="D21" s="45">
        <f t="shared" ref="D21:J21" si="6">SUM(D8:D20)</f>
        <v>12447874</v>
      </c>
      <c r="E21" s="45">
        <f t="shared" si="6"/>
        <v>1329919</v>
      </c>
      <c r="F21" s="45">
        <f t="shared" si="6"/>
        <v>5133</v>
      </c>
      <c r="G21" s="45">
        <f t="shared" si="6"/>
        <v>143866996</v>
      </c>
      <c r="H21" s="45">
        <f t="shared" si="6"/>
        <v>1329919</v>
      </c>
      <c r="I21" s="45">
        <f t="shared" si="6"/>
        <v>591756.5</v>
      </c>
      <c r="J21" s="45">
        <f t="shared" si="6"/>
        <v>5556401</v>
      </c>
      <c r="K21" s="46"/>
      <c r="L21" s="47">
        <f>SUM(L8:L20)</f>
        <v>10445587.485000001</v>
      </c>
      <c r="M21" s="48">
        <f>SUM(M8:M20)</f>
        <v>133421408.51499999</v>
      </c>
    </row>
    <row r="23" spans="1:13" collapsed="1" x14ac:dyDescent="0.25">
      <c r="A23" s="22"/>
      <c r="B23" s="23" t="s">
        <v>49</v>
      </c>
    </row>
    <row r="24" spans="1:13" s="22" customFormat="1" x14ac:dyDescent="0.25">
      <c r="A24" s="24"/>
      <c r="B24" s="25"/>
      <c r="C24" s="25">
        <v>2</v>
      </c>
      <c r="D24" s="25">
        <v>3</v>
      </c>
      <c r="E24" s="25">
        <v>4</v>
      </c>
      <c r="F24" s="25">
        <v>8</v>
      </c>
      <c r="G24" s="25">
        <v>9</v>
      </c>
      <c r="H24" s="25">
        <v>11</v>
      </c>
      <c r="I24" s="25">
        <v>12</v>
      </c>
      <c r="J24" s="25">
        <v>13</v>
      </c>
      <c r="K24" s="25">
        <v>14</v>
      </c>
      <c r="L24" s="25">
        <v>17</v>
      </c>
      <c r="M24" s="26">
        <v>18</v>
      </c>
    </row>
    <row r="25" spans="1:13" s="22" customFormat="1" x14ac:dyDescent="0.25">
      <c r="A25" s="27"/>
      <c r="B25" s="28"/>
      <c r="C25" s="28"/>
      <c r="D25" s="28" t="s">
        <v>14</v>
      </c>
      <c r="E25" s="28" t="s">
        <v>15</v>
      </c>
      <c r="F25" s="28" t="s">
        <v>16</v>
      </c>
      <c r="G25" s="28" t="s">
        <v>17</v>
      </c>
      <c r="H25" s="28" t="s">
        <v>18</v>
      </c>
      <c r="I25" s="28" t="s">
        <v>18</v>
      </c>
      <c r="J25" s="28" t="s">
        <v>18</v>
      </c>
      <c r="K25" s="28" t="s">
        <v>19</v>
      </c>
      <c r="L25" s="28" t="s">
        <v>20</v>
      </c>
      <c r="M25" s="29" t="s">
        <v>21</v>
      </c>
    </row>
    <row r="26" spans="1:13" s="22" customFormat="1" x14ac:dyDescent="0.25">
      <c r="A26" s="27"/>
      <c r="B26" s="28"/>
      <c r="C26" s="28" t="s">
        <v>22</v>
      </c>
      <c r="D26" s="28" t="s">
        <v>23</v>
      </c>
      <c r="E26" s="28" t="s">
        <v>24</v>
      </c>
      <c r="F26" s="28" t="s">
        <v>25</v>
      </c>
      <c r="G26" s="30" t="s">
        <v>26</v>
      </c>
      <c r="H26" s="28" t="s">
        <v>27</v>
      </c>
      <c r="I26" s="28" t="s">
        <v>27</v>
      </c>
      <c r="J26" s="28" t="s">
        <v>28</v>
      </c>
      <c r="K26" s="28" t="s">
        <v>29</v>
      </c>
      <c r="L26" s="28" t="s">
        <v>30</v>
      </c>
      <c r="M26" s="29" t="s">
        <v>22</v>
      </c>
    </row>
    <row r="27" spans="1:13" s="22" customFormat="1" x14ac:dyDescent="0.25">
      <c r="A27" s="31" t="s">
        <v>31</v>
      </c>
      <c r="B27" s="32"/>
      <c r="C27" s="33">
        <v>43465</v>
      </c>
      <c r="D27" s="32" t="s">
        <v>32</v>
      </c>
      <c r="E27" s="32" t="s">
        <v>33</v>
      </c>
      <c r="F27" s="32" t="s">
        <v>34</v>
      </c>
      <c r="G27" s="32"/>
      <c r="H27" s="32" t="s">
        <v>20</v>
      </c>
      <c r="I27" s="32" t="s">
        <v>35</v>
      </c>
      <c r="J27" s="32" t="s">
        <v>20</v>
      </c>
      <c r="K27" s="32"/>
      <c r="L27" s="32"/>
      <c r="M27" s="34">
        <v>43830</v>
      </c>
    </row>
    <row r="28" spans="1:13" x14ac:dyDescent="0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7"/>
    </row>
    <row r="29" spans="1:13" x14ac:dyDescent="0.25">
      <c r="A29" s="35">
        <v>1</v>
      </c>
      <c r="B29" s="36" t="s">
        <v>36</v>
      </c>
      <c r="C29" s="38">
        <f>M8</f>
        <v>46722943.68</v>
      </c>
      <c r="D29" s="36"/>
      <c r="E29" s="36"/>
      <c r="F29" s="36"/>
      <c r="G29" s="39">
        <f t="shared" ref="G29:G41" si="7">C29+D29-F29</f>
        <v>46722943.68</v>
      </c>
      <c r="H29" s="38">
        <f t="shared" ref="H29:H34" si="8">E29</f>
        <v>0</v>
      </c>
      <c r="I29" s="38"/>
      <c r="J29" s="38"/>
      <c r="K29" s="40">
        <v>0.04</v>
      </c>
      <c r="L29" s="39">
        <f t="shared" ref="L29:L41" si="9">(G29+I29-J29)*K29</f>
        <v>1868917.7472000001</v>
      </c>
      <c r="M29" s="41">
        <f t="shared" ref="M29:M41" si="10">G29-L29</f>
        <v>44854025.932800002</v>
      </c>
    </row>
    <row r="30" spans="1:13" x14ac:dyDescent="0.25">
      <c r="A30" s="35" t="s">
        <v>37</v>
      </c>
      <c r="B30" s="36" t="s">
        <v>36</v>
      </c>
      <c r="C30" s="38">
        <f t="shared" ref="C30:C41" si="11">M9</f>
        <v>3001729.26</v>
      </c>
      <c r="D30" s="36"/>
      <c r="E30" s="36"/>
      <c r="F30" s="36"/>
      <c r="G30" s="39">
        <f t="shared" si="7"/>
        <v>3001729.26</v>
      </c>
      <c r="H30" s="38">
        <f t="shared" si="8"/>
        <v>0</v>
      </c>
      <c r="I30" s="38"/>
      <c r="J30" s="38"/>
      <c r="K30" s="40">
        <v>0.06</v>
      </c>
      <c r="L30" s="39">
        <f t="shared" si="9"/>
        <v>180103.75559999997</v>
      </c>
      <c r="M30" s="41">
        <f t="shared" si="10"/>
        <v>2821625.5044</v>
      </c>
    </row>
    <row r="31" spans="1:13" x14ac:dyDescent="0.25">
      <c r="A31" s="35" t="s">
        <v>37</v>
      </c>
      <c r="B31" s="36" t="s">
        <v>38</v>
      </c>
      <c r="C31" s="38">
        <f t="shared" si="11"/>
        <v>4623306.32</v>
      </c>
      <c r="D31" s="42">
        <v>2037896</v>
      </c>
      <c r="E31" s="42">
        <f>D31</f>
        <v>2037896</v>
      </c>
      <c r="F31" s="36"/>
      <c r="G31" s="39">
        <f t="shared" si="7"/>
        <v>6661202.3200000003</v>
      </c>
      <c r="H31" s="38">
        <f t="shared" si="8"/>
        <v>2037896</v>
      </c>
      <c r="I31" s="38">
        <f>H31*0.5</f>
        <v>1018948</v>
      </c>
      <c r="J31" s="38">
        <f>(D31-H31)*0.5</f>
        <v>0</v>
      </c>
      <c r="K31" s="40">
        <v>0.06</v>
      </c>
      <c r="L31" s="39">
        <f t="shared" si="9"/>
        <v>460809.01919999998</v>
      </c>
      <c r="M31" s="41">
        <f t="shared" si="10"/>
        <v>6200393.3008000003</v>
      </c>
    </row>
    <row r="32" spans="1:13" x14ac:dyDescent="0.25">
      <c r="A32" s="35">
        <v>2</v>
      </c>
      <c r="B32" s="36" t="s">
        <v>39</v>
      </c>
      <c r="C32" s="38">
        <f t="shared" si="11"/>
        <v>2666486.7200000002</v>
      </c>
      <c r="D32" s="42"/>
      <c r="E32" s="42"/>
      <c r="F32" s="36"/>
      <c r="G32" s="39">
        <f t="shared" si="7"/>
        <v>2666486.7200000002</v>
      </c>
      <c r="H32" s="38">
        <f t="shared" si="8"/>
        <v>0</v>
      </c>
      <c r="I32" s="38">
        <f t="shared" ref="I32:I34" si="12">H32*0.5</f>
        <v>0</v>
      </c>
      <c r="J32" s="38"/>
      <c r="K32" s="40">
        <v>0.06</v>
      </c>
      <c r="L32" s="39">
        <f t="shared" si="9"/>
        <v>159989.20320000002</v>
      </c>
      <c r="M32" s="41">
        <f t="shared" si="10"/>
        <v>2506497.5168000003</v>
      </c>
    </row>
    <row r="33" spans="1:13" x14ac:dyDescent="0.25">
      <c r="A33" s="35">
        <v>3</v>
      </c>
      <c r="B33" s="36" t="s">
        <v>40</v>
      </c>
      <c r="C33" s="38">
        <f t="shared" si="11"/>
        <v>986784</v>
      </c>
      <c r="D33" s="42"/>
      <c r="E33" s="42"/>
      <c r="F33" s="36"/>
      <c r="G33" s="39">
        <f t="shared" si="7"/>
        <v>986784</v>
      </c>
      <c r="H33" s="38">
        <f t="shared" si="8"/>
        <v>0</v>
      </c>
      <c r="I33" s="38">
        <f t="shared" si="12"/>
        <v>0</v>
      </c>
      <c r="J33" s="38"/>
      <c r="K33" s="40">
        <v>0.05</v>
      </c>
      <c r="L33" s="39">
        <f t="shared" si="9"/>
        <v>49339.200000000004</v>
      </c>
      <c r="M33" s="41">
        <f t="shared" si="10"/>
        <v>937444.8</v>
      </c>
    </row>
    <row r="34" spans="1:13" x14ac:dyDescent="0.25">
      <c r="A34" s="35">
        <v>8</v>
      </c>
      <c r="B34" s="36" t="s">
        <v>41</v>
      </c>
      <c r="C34" s="38">
        <f t="shared" si="11"/>
        <v>1308814.8999999999</v>
      </c>
      <c r="D34" s="42">
        <v>307359</v>
      </c>
      <c r="E34" s="42">
        <f>D34</f>
        <v>307359</v>
      </c>
      <c r="F34" s="36"/>
      <c r="G34" s="39">
        <f t="shared" si="7"/>
        <v>1616173.9</v>
      </c>
      <c r="H34" s="38">
        <f t="shared" si="8"/>
        <v>307359</v>
      </c>
      <c r="I34" s="38">
        <f t="shared" si="12"/>
        <v>153679.5</v>
      </c>
      <c r="J34" s="38">
        <f>(D34-H34)*0.5</f>
        <v>0</v>
      </c>
      <c r="K34" s="40">
        <v>0.2</v>
      </c>
      <c r="L34" s="39">
        <f t="shared" si="9"/>
        <v>353970.68</v>
      </c>
      <c r="M34" s="41">
        <f t="shared" si="10"/>
        <v>1262203.22</v>
      </c>
    </row>
    <row r="35" spans="1:13" x14ac:dyDescent="0.25">
      <c r="A35" s="35">
        <v>10</v>
      </c>
      <c r="B35" s="36" t="s">
        <v>42</v>
      </c>
      <c r="C35" s="38">
        <f t="shared" si="11"/>
        <v>2140091.35</v>
      </c>
      <c r="D35" s="42">
        <v>599766</v>
      </c>
      <c r="E35" s="42">
        <f>D35</f>
        <v>599766</v>
      </c>
      <c r="F35" s="36">
        <v>265</v>
      </c>
      <c r="G35" s="39">
        <f t="shared" si="7"/>
        <v>2739592.35</v>
      </c>
      <c r="H35" s="38">
        <f>E35-F35</f>
        <v>599501</v>
      </c>
      <c r="I35" s="38">
        <f>H35*0.5</f>
        <v>299750.5</v>
      </c>
      <c r="J35" s="38">
        <f>(D35-F35-H35)*0.5</f>
        <v>0</v>
      </c>
      <c r="K35" s="40">
        <v>0.3</v>
      </c>
      <c r="L35" s="39">
        <f t="shared" si="9"/>
        <v>911802.85499999998</v>
      </c>
      <c r="M35" s="41">
        <f t="shared" si="10"/>
        <v>1827789.4950000001</v>
      </c>
    </row>
    <row r="36" spans="1:13" x14ac:dyDescent="0.25">
      <c r="A36" s="35">
        <v>12</v>
      </c>
      <c r="B36" s="36" t="s">
        <v>43</v>
      </c>
      <c r="C36" s="38">
        <f t="shared" si="11"/>
        <v>71242.5</v>
      </c>
      <c r="D36" s="42">
        <v>361773</v>
      </c>
      <c r="E36" s="42">
        <f>D36</f>
        <v>361773</v>
      </c>
      <c r="F36" s="36"/>
      <c r="G36" s="39">
        <f t="shared" si="7"/>
        <v>433015.5</v>
      </c>
      <c r="H36" s="38">
        <f t="shared" ref="H36:H41" si="13">E36</f>
        <v>361773</v>
      </c>
      <c r="I36" s="38">
        <v>0</v>
      </c>
      <c r="J36" s="38">
        <f>(D36-H36)*0.5</f>
        <v>0</v>
      </c>
      <c r="K36" s="40">
        <v>1</v>
      </c>
      <c r="L36" s="39">
        <f t="shared" si="9"/>
        <v>433015.5</v>
      </c>
      <c r="M36" s="41">
        <f t="shared" si="10"/>
        <v>0</v>
      </c>
    </row>
    <row r="37" spans="1:13" x14ac:dyDescent="0.25">
      <c r="A37" s="35">
        <v>14.1</v>
      </c>
      <c r="B37" s="36" t="s">
        <v>44</v>
      </c>
      <c r="C37" s="38">
        <f t="shared" si="11"/>
        <v>679344.54</v>
      </c>
      <c r="D37" s="42"/>
      <c r="E37" s="42"/>
      <c r="F37" s="36"/>
      <c r="G37" s="39">
        <f t="shared" si="7"/>
        <v>679344.54</v>
      </c>
      <c r="H37" s="38">
        <f t="shared" si="13"/>
        <v>0</v>
      </c>
      <c r="I37" s="38">
        <f t="shared" ref="I37:I41" si="14">H37*0.5</f>
        <v>0</v>
      </c>
      <c r="J37" s="38"/>
      <c r="K37" s="40">
        <v>7.0000000000000007E-2</v>
      </c>
      <c r="L37" s="39">
        <f t="shared" si="9"/>
        <v>47554.117800000007</v>
      </c>
      <c r="M37" s="41">
        <f t="shared" si="10"/>
        <v>631790.42220000003</v>
      </c>
    </row>
    <row r="38" spans="1:13" x14ac:dyDescent="0.25">
      <c r="A38" s="35">
        <v>17</v>
      </c>
      <c r="B38" s="36" t="s">
        <v>45</v>
      </c>
      <c r="C38" s="38">
        <f t="shared" si="11"/>
        <v>186129.8</v>
      </c>
      <c r="D38" s="42"/>
      <c r="E38" s="42"/>
      <c r="F38" s="36"/>
      <c r="G38" s="39">
        <f t="shared" si="7"/>
        <v>186129.8</v>
      </c>
      <c r="H38" s="38">
        <f t="shared" si="13"/>
        <v>0</v>
      </c>
      <c r="I38" s="38">
        <f t="shared" si="14"/>
        <v>0</v>
      </c>
      <c r="J38" s="38"/>
      <c r="K38" s="40">
        <v>0.08</v>
      </c>
      <c r="L38" s="39">
        <f t="shared" si="9"/>
        <v>14890.384</v>
      </c>
      <c r="M38" s="41">
        <f t="shared" si="10"/>
        <v>171239.416</v>
      </c>
    </row>
    <row r="39" spans="1:13" x14ac:dyDescent="0.25">
      <c r="A39" s="35">
        <v>45</v>
      </c>
      <c r="B39" s="36" t="s">
        <v>46</v>
      </c>
      <c r="C39" s="38">
        <f t="shared" si="11"/>
        <v>142.44999999999999</v>
      </c>
      <c r="D39" s="42"/>
      <c r="E39" s="42"/>
      <c r="F39" s="36"/>
      <c r="G39" s="39">
        <f t="shared" si="7"/>
        <v>142.44999999999999</v>
      </c>
      <c r="H39" s="38">
        <f t="shared" si="13"/>
        <v>0</v>
      </c>
      <c r="I39" s="38">
        <f t="shared" si="14"/>
        <v>0</v>
      </c>
      <c r="J39" s="38"/>
      <c r="K39" s="40">
        <v>0.45</v>
      </c>
      <c r="L39" s="39">
        <f t="shared" si="9"/>
        <v>64.102499999999992</v>
      </c>
      <c r="M39" s="41">
        <f t="shared" si="10"/>
        <v>78.347499999999997</v>
      </c>
    </row>
    <row r="40" spans="1:13" x14ac:dyDescent="0.25">
      <c r="A40" s="35">
        <v>47</v>
      </c>
      <c r="B40" s="36" t="s">
        <v>47</v>
      </c>
      <c r="C40" s="38">
        <f t="shared" si="11"/>
        <v>70664796.519999996</v>
      </c>
      <c r="D40" s="42">
        <v>7992827</v>
      </c>
      <c r="E40" s="42">
        <f>D40</f>
        <v>7992827</v>
      </c>
      <c r="F40" s="36"/>
      <c r="G40" s="39">
        <f t="shared" si="7"/>
        <v>78657623.519999996</v>
      </c>
      <c r="H40" s="38">
        <f t="shared" si="13"/>
        <v>7992827</v>
      </c>
      <c r="I40" s="38">
        <f t="shared" si="14"/>
        <v>3996413.5</v>
      </c>
      <c r="J40" s="38">
        <f>(D40-H40)*0.5</f>
        <v>0</v>
      </c>
      <c r="K40" s="40">
        <v>0.08</v>
      </c>
      <c r="L40" s="39">
        <f t="shared" si="9"/>
        <v>6612322.9616</v>
      </c>
      <c r="M40" s="41">
        <f t="shared" si="10"/>
        <v>72045300.55839999</v>
      </c>
    </row>
    <row r="41" spans="1:13" x14ac:dyDescent="0.25">
      <c r="A41" s="35">
        <v>50</v>
      </c>
      <c r="B41" s="36" t="s">
        <v>48</v>
      </c>
      <c r="C41" s="38">
        <f t="shared" si="11"/>
        <v>369596.47499999998</v>
      </c>
      <c r="D41" s="42">
        <v>184892</v>
      </c>
      <c r="E41" s="42">
        <f>D41</f>
        <v>184892</v>
      </c>
      <c r="F41" s="36"/>
      <c r="G41" s="39">
        <f t="shared" si="7"/>
        <v>554488.47499999998</v>
      </c>
      <c r="H41" s="38">
        <f t="shared" si="13"/>
        <v>184892</v>
      </c>
      <c r="I41" s="38">
        <f t="shared" si="14"/>
        <v>92446</v>
      </c>
      <c r="J41" s="38">
        <f>(D41-H41-F41)*0.5</f>
        <v>0</v>
      </c>
      <c r="K41" s="40">
        <v>0.55000000000000004</v>
      </c>
      <c r="L41" s="39">
        <f t="shared" si="9"/>
        <v>355813.96124999999</v>
      </c>
      <c r="M41" s="41">
        <f t="shared" si="10"/>
        <v>198674.51374999998</v>
      </c>
    </row>
    <row r="42" spans="1:13" x14ac:dyDescent="0.25">
      <c r="A42" s="43"/>
      <c r="B42" s="44"/>
      <c r="C42" s="45">
        <f>SUM(C29:C41)</f>
        <v>133421408.51499999</v>
      </c>
      <c r="D42" s="45">
        <f t="shared" ref="D42:J42" si="15">SUM(D29:D41)</f>
        <v>11484513</v>
      </c>
      <c r="E42" s="45">
        <f t="shared" si="15"/>
        <v>11484513</v>
      </c>
      <c r="F42" s="45">
        <f t="shared" si="15"/>
        <v>265</v>
      </c>
      <c r="G42" s="45">
        <f t="shared" si="15"/>
        <v>144905656.51499999</v>
      </c>
      <c r="H42" s="45">
        <f t="shared" si="15"/>
        <v>11484248</v>
      </c>
      <c r="I42" s="45">
        <f t="shared" si="15"/>
        <v>5561237.5</v>
      </c>
      <c r="J42" s="45">
        <f t="shared" si="15"/>
        <v>0</v>
      </c>
      <c r="K42" s="46"/>
      <c r="L42" s="47">
        <f>SUM(L29:L41)</f>
        <v>11448593.48735</v>
      </c>
      <c r="M42" s="48">
        <f>SUM(M29:M41)</f>
        <v>133457063.02764998</v>
      </c>
    </row>
    <row r="63" spans="1:13" collapsed="1" x14ac:dyDescent="0.25">
      <c r="A63" s="22"/>
      <c r="B63" s="23" t="s">
        <v>50</v>
      </c>
    </row>
    <row r="64" spans="1:13" s="22" customFormat="1" x14ac:dyDescent="0.25">
      <c r="A64" s="24"/>
      <c r="B64" s="25"/>
      <c r="C64" s="25">
        <v>2</v>
      </c>
      <c r="D64" s="25">
        <v>3</v>
      </c>
      <c r="E64" s="25">
        <v>4</v>
      </c>
      <c r="F64" s="25">
        <v>8</v>
      </c>
      <c r="G64" s="25">
        <v>9</v>
      </c>
      <c r="H64" s="25">
        <v>11</v>
      </c>
      <c r="I64" s="25">
        <v>12</v>
      </c>
      <c r="J64" s="25">
        <v>13</v>
      </c>
      <c r="K64" s="25">
        <v>14</v>
      </c>
      <c r="L64" s="25">
        <v>17</v>
      </c>
      <c r="M64" s="26">
        <v>18</v>
      </c>
    </row>
    <row r="65" spans="1:13" s="22" customFormat="1" x14ac:dyDescent="0.25">
      <c r="A65" s="27"/>
      <c r="B65" s="28"/>
      <c r="C65" s="28"/>
      <c r="D65" s="28" t="s">
        <v>14</v>
      </c>
      <c r="E65" s="28" t="s">
        <v>15</v>
      </c>
      <c r="F65" s="28" t="s">
        <v>16</v>
      </c>
      <c r="G65" s="28" t="s">
        <v>17</v>
      </c>
      <c r="H65" s="28" t="s">
        <v>18</v>
      </c>
      <c r="I65" s="28" t="s">
        <v>18</v>
      </c>
      <c r="J65" s="28" t="s">
        <v>18</v>
      </c>
      <c r="K65" s="28" t="s">
        <v>19</v>
      </c>
      <c r="L65" s="28" t="s">
        <v>20</v>
      </c>
      <c r="M65" s="29" t="s">
        <v>21</v>
      </c>
    </row>
    <row r="66" spans="1:13" s="22" customFormat="1" x14ac:dyDescent="0.25">
      <c r="A66" s="27"/>
      <c r="B66" s="28"/>
      <c r="C66" s="28" t="s">
        <v>22</v>
      </c>
      <c r="D66" s="28" t="s">
        <v>23</v>
      </c>
      <c r="E66" s="28" t="s">
        <v>24</v>
      </c>
      <c r="F66" s="28" t="s">
        <v>25</v>
      </c>
      <c r="G66" s="30" t="s">
        <v>26</v>
      </c>
      <c r="H66" s="28" t="s">
        <v>27</v>
      </c>
      <c r="I66" s="28" t="s">
        <v>27</v>
      </c>
      <c r="J66" s="28" t="s">
        <v>28</v>
      </c>
      <c r="K66" s="28" t="s">
        <v>29</v>
      </c>
      <c r="L66" s="28" t="s">
        <v>30</v>
      </c>
      <c r="M66" s="29" t="s">
        <v>22</v>
      </c>
    </row>
    <row r="67" spans="1:13" s="22" customFormat="1" x14ac:dyDescent="0.25">
      <c r="A67" s="31" t="s">
        <v>31</v>
      </c>
      <c r="B67" s="32"/>
      <c r="C67" s="33">
        <v>43830</v>
      </c>
      <c r="D67" s="32" t="s">
        <v>32</v>
      </c>
      <c r="E67" s="32" t="s">
        <v>33</v>
      </c>
      <c r="F67" s="32" t="s">
        <v>34</v>
      </c>
      <c r="G67" s="32"/>
      <c r="H67" s="32" t="s">
        <v>20</v>
      </c>
      <c r="I67" s="32" t="s">
        <v>35</v>
      </c>
      <c r="J67" s="32" t="s">
        <v>20</v>
      </c>
      <c r="K67" s="32"/>
      <c r="L67" s="32"/>
      <c r="M67" s="34">
        <v>44196</v>
      </c>
    </row>
    <row r="68" spans="1:13" x14ac:dyDescent="0.25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7"/>
    </row>
    <row r="69" spans="1:13" x14ac:dyDescent="0.25">
      <c r="A69" s="35">
        <v>1</v>
      </c>
      <c r="B69" s="36" t="s">
        <v>36</v>
      </c>
      <c r="C69" s="38">
        <f t="shared" ref="C69:C81" si="16">M29</f>
        <v>44854025.932800002</v>
      </c>
      <c r="D69" s="36"/>
      <c r="E69" s="36"/>
      <c r="F69" s="36"/>
      <c r="G69" s="39">
        <f t="shared" ref="G69:G81" si="17">C69+D69-F69</f>
        <v>44854025.932800002</v>
      </c>
      <c r="H69" s="38">
        <f t="shared" ref="H69:H74" si="18">E69</f>
        <v>0</v>
      </c>
      <c r="I69" s="38"/>
      <c r="J69" s="38"/>
      <c r="K69" s="40">
        <v>0.04</v>
      </c>
      <c r="L69" s="39">
        <f t="shared" ref="L69:L81" si="19">(G69+I69-J69)*K69</f>
        <v>1794161.0373120001</v>
      </c>
      <c r="M69" s="41">
        <f t="shared" ref="M69:M81" si="20">G69-L69</f>
        <v>43059864.895488001</v>
      </c>
    </row>
    <row r="70" spans="1:13" x14ac:dyDescent="0.25">
      <c r="A70" s="35" t="s">
        <v>37</v>
      </c>
      <c r="B70" s="36" t="s">
        <v>36</v>
      </c>
      <c r="C70" s="38">
        <f t="shared" si="16"/>
        <v>2821625.5044</v>
      </c>
      <c r="D70" s="36"/>
      <c r="E70" s="36"/>
      <c r="F70" s="36"/>
      <c r="G70" s="39">
        <f t="shared" si="17"/>
        <v>2821625.5044</v>
      </c>
      <c r="H70" s="38">
        <f t="shared" si="18"/>
        <v>0</v>
      </c>
      <c r="I70" s="38"/>
      <c r="J70" s="38"/>
      <c r="K70" s="40">
        <v>0.06</v>
      </c>
      <c r="L70" s="39">
        <f t="shared" si="19"/>
        <v>169297.530264</v>
      </c>
      <c r="M70" s="41">
        <f t="shared" si="20"/>
        <v>2652327.974136</v>
      </c>
    </row>
    <row r="71" spans="1:13" x14ac:dyDescent="0.25">
      <c r="A71" s="35" t="s">
        <v>37</v>
      </c>
      <c r="B71" s="36" t="s">
        <v>38</v>
      </c>
      <c r="C71" s="38">
        <f t="shared" si="16"/>
        <v>6200393.3008000003</v>
      </c>
      <c r="D71" s="42">
        <v>1680090.1700000002</v>
      </c>
      <c r="E71" s="42">
        <f>D71</f>
        <v>1680090.1700000002</v>
      </c>
      <c r="F71" s="36"/>
      <c r="G71" s="39">
        <f t="shared" si="17"/>
        <v>7880483.4708000002</v>
      </c>
      <c r="H71" s="38">
        <f t="shared" si="18"/>
        <v>1680090.1700000002</v>
      </c>
      <c r="I71" s="38">
        <f>H71*0.5</f>
        <v>840045.08500000008</v>
      </c>
      <c r="J71" s="38">
        <f>(D71-H71)*0.5</f>
        <v>0</v>
      </c>
      <c r="K71" s="40">
        <v>0.06</v>
      </c>
      <c r="L71" s="39">
        <f t="shared" si="19"/>
        <v>523231.71334800002</v>
      </c>
      <c r="M71" s="41">
        <f t="shared" si="20"/>
        <v>7357251.7574519999</v>
      </c>
    </row>
    <row r="72" spans="1:13" x14ac:dyDescent="0.25">
      <c r="A72" s="35">
        <v>2</v>
      </c>
      <c r="B72" s="36" t="s">
        <v>39</v>
      </c>
      <c r="C72" s="38">
        <f t="shared" si="16"/>
        <v>2506497.5168000003</v>
      </c>
      <c r="D72" s="42"/>
      <c r="E72" s="42"/>
      <c r="F72" s="36"/>
      <c r="G72" s="39">
        <f t="shared" si="17"/>
        <v>2506497.5168000003</v>
      </c>
      <c r="H72" s="38">
        <f t="shared" si="18"/>
        <v>0</v>
      </c>
      <c r="I72" s="38">
        <f t="shared" ref="I72:I74" si="21">H72*0.5</f>
        <v>0</v>
      </c>
      <c r="J72" s="38"/>
      <c r="K72" s="40">
        <v>0.06</v>
      </c>
      <c r="L72" s="39">
        <f t="shared" si="19"/>
        <v>150389.85100800003</v>
      </c>
      <c r="M72" s="41">
        <f t="shared" si="20"/>
        <v>2356107.6657920005</v>
      </c>
    </row>
    <row r="73" spans="1:13" x14ac:dyDescent="0.25">
      <c r="A73" s="35">
        <v>3</v>
      </c>
      <c r="B73" s="36" t="s">
        <v>40</v>
      </c>
      <c r="C73" s="38">
        <f t="shared" si="16"/>
        <v>937444.8</v>
      </c>
      <c r="D73" s="42"/>
      <c r="E73" s="42"/>
      <c r="F73" s="36"/>
      <c r="G73" s="39">
        <f t="shared" si="17"/>
        <v>937444.8</v>
      </c>
      <c r="H73" s="38">
        <f t="shared" si="18"/>
        <v>0</v>
      </c>
      <c r="I73" s="38">
        <f t="shared" si="21"/>
        <v>0</v>
      </c>
      <c r="J73" s="38"/>
      <c r="K73" s="40">
        <v>0.05</v>
      </c>
      <c r="L73" s="39">
        <f t="shared" si="19"/>
        <v>46872.240000000005</v>
      </c>
      <c r="M73" s="41">
        <f t="shared" si="20"/>
        <v>890572.56</v>
      </c>
    </row>
    <row r="74" spans="1:13" x14ac:dyDescent="0.25">
      <c r="A74" s="35">
        <v>8</v>
      </c>
      <c r="B74" s="36" t="s">
        <v>41</v>
      </c>
      <c r="C74" s="38">
        <f t="shared" si="16"/>
        <v>1262203.22</v>
      </c>
      <c r="D74" s="42">
        <v>274749.08</v>
      </c>
      <c r="E74" s="42">
        <f>D74</f>
        <v>274749.08</v>
      </c>
      <c r="F74" s="36"/>
      <c r="G74" s="39">
        <f t="shared" si="17"/>
        <v>1536952.3</v>
      </c>
      <c r="H74" s="38">
        <f t="shared" si="18"/>
        <v>274749.08</v>
      </c>
      <c r="I74" s="38">
        <f t="shared" si="21"/>
        <v>137374.54</v>
      </c>
      <c r="J74" s="38">
        <f>(D74-H74)*0.5</f>
        <v>0</v>
      </c>
      <c r="K74" s="40">
        <v>0.2</v>
      </c>
      <c r="L74" s="39">
        <f t="shared" si="19"/>
        <v>334865.36800000002</v>
      </c>
      <c r="M74" s="41">
        <f t="shared" si="20"/>
        <v>1202086.932</v>
      </c>
    </row>
    <row r="75" spans="1:13" x14ac:dyDescent="0.25">
      <c r="A75" s="35">
        <v>10</v>
      </c>
      <c r="B75" s="36" t="s">
        <v>42</v>
      </c>
      <c r="C75" s="38">
        <f t="shared" si="16"/>
        <v>1827789.4950000001</v>
      </c>
      <c r="D75" s="42">
        <v>113650</v>
      </c>
      <c r="E75" s="42">
        <f>D75</f>
        <v>113650</v>
      </c>
      <c r="F75" s="36"/>
      <c r="G75" s="39">
        <f t="shared" si="17"/>
        <v>1941439.4950000001</v>
      </c>
      <c r="H75" s="38">
        <f>E75-F75</f>
        <v>113650</v>
      </c>
      <c r="I75" s="38">
        <f>H75*0.5</f>
        <v>56825</v>
      </c>
      <c r="J75" s="38">
        <f>(D75-F75-H75)*0.5</f>
        <v>0</v>
      </c>
      <c r="K75" s="40">
        <v>0.3</v>
      </c>
      <c r="L75" s="39">
        <f t="shared" si="19"/>
        <v>599479.34849999996</v>
      </c>
      <c r="M75" s="41">
        <f t="shared" si="20"/>
        <v>1341960.1465000003</v>
      </c>
    </row>
    <row r="76" spans="1:13" x14ac:dyDescent="0.25">
      <c r="A76" s="35">
        <v>12</v>
      </c>
      <c r="B76" s="36" t="s">
        <v>43</v>
      </c>
      <c r="C76" s="38">
        <f t="shared" si="16"/>
        <v>0</v>
      </c>
      <c r="D76" s="42">
        <v>197497.18</v>
      </c>
      <c r="E76" s="42">
        <f>D76</f>
        <v>197497.18</v>
      </c>
      <c r="F76" s="36"/>
      <c r="G76" s="39">
        <f t="shared" si="17"/>
        <v>197497.18</v>
      </c>
      <c r="H76" s="38">
        <f t="shared" ref="H76:H81" si="22">E76</f>
        <v>197497.18</v>
      </c>
      <c r="I76" s="38">
        <v>0</v>
      </c>
      <c r="J76" s="38">
        <f>(D76-H76)*0.5</f>
        <v>0</v>
      </c>
      <c r="K76" s="40">
        <v>1</v>
      </c>
      <c r="L76" s="39">
        <f t="shared" si="19"/>
        <v>197497.18</v>
      </c>
      <c r="M76" s="41">
        <f t="shared" si="20"/>
        <v>0</v>
      </c>
    </row>
    <row r="77" spans="1:13" x14ac:dyDescent="0.25">
      <c r="A77" s="35">
        <v>14.1</v>
      </c>
      <c r="B77" s="36" t="s">
        <v>44</v>
      </c>
      <c r="C77" s="38">
        <f t="shared" si="16"/>
        <v>631790.42220000003</v>
      </c>
      <c r="D77" s="42"/>
      <c r="E77" s="42"/>
      <c r="F77" s="36"/>
      <c r="G77" s="39">
        <f t="shared" si="17"/>
        <v>631790.42220000003</v>
      </c>
      <c r="H77" s="38">
        <f t="shared" si="22"/>
        <v>0</v>
      </c>
      <c r="I77" s="38">
        <f t="shared" ref="I77:I81" si="23">H77*0.5</f>
        <v>0</v>
      </c>
      <c r="J77" s="38"/>
      <c r="K77" s="40">
        <v>7.0000000000000007E-2</v>
      </c>
      <c r="L77" s="39">
        <f t="shared" si="19"/>
        <v>44225.329554000004</v>
      </c>
      <c r="M77" s="41">
        <f t="shared" si="20"/>
        <v>587565.09264599998</v>
      </c>
    </row>
    <row r="78" spans="1:13" x14ac:dyDescent="0.25">
      <c r="A78" s="35">
        <v>17</v>
      </c>
      <c r="B78" s="36" t="s">
        <v>45</v>
      </c>
      <c r="C78" s="38">
        <f t="shared" si="16"/>
        <v>171239.416</v>
      </c>
      <c r="D78" s="42"/>
      <c r="E78" s="42"/>
      <c r="F78" s="36"/>
      <c r="G78" s="39">
        <f t="shared" si="17"/>
        <v>171239.416</v>
      </c>
      <c r="H78" s="38">
        <f t="shared" si="22"/>
        <v>0</v>
      </c>
      <c r="I78" s="38">
        <f t="shared" si="23"/>
        <v>0</v>
      </c>
      <c r="J78" s="38"/>
      <c r="K78" s="40">
        <v>0.08</v>
      </c>
      <c r="L78" s="39">
        <f t="shared" si="19"/>
        <v>13699.15328</v>
      </c>
      <c r="M78" s="41">
        <f t="shared" si="20"/>
        <v>157540.26272</v>
      </c>
    </row>
    <row r="79" spans="1:13" x14ac:dyDescent="0.25">
      <c r="A79" s="35">
        <v>45</v>
      </c>
      <c r="B79" s="36" t="s">
        <v>46</v>
      </c>
      <c r="C79" s="38">
        <f t="shared" si="16"/>
        <v>78.347499999999997</v>
      </c>
      <c r="D79" s="42"/>
      <c r="E79" s="42"/>
      <c r="F79" s="36"/>
      <c r="G79" s="39">
        <f t="shared" si="17"/>
        <v>78.347499999999997</v>
      </c>
      <c r="H79" s="38">
        <f t="shared" si="22"/>
        <v>0</v>
      </c>
      <c r="I79" s="38">
        <f t="shared" si="23"/>
        <v>0</v>
      </c>
      <c r="J79" s="38"/>
      <c r="K79" s="40">
        <v>0.45</v>
      </c>
      <c r="L79" s="39">
        <f t="shared" si="19"/>
        <v>35.256374999999998</v>
      </c>
      <c r="M79" s="41">
        <f t="shared" si="20"/>
        <v>43.091124999999998</v>
      </c>
    </row>
    <row r="80" spans="1:13" x14ac:dyDescent="0.25">
      <c r="A80" s="35">
        <v>47</v>
      </c>
      <c r="B80" s="36" t="s">
        <v>47</v>
      </c>
      <c r="C80" s="38">
        <f t="shared" si="16"/>
        <v>72045300.55839999</v>
      </c>
      <c r="D80" s="42">
        <v>10567855.720000001</v>
      </c>
      <c r="E80" s="42">
        <f>D80</f>
        <v>10567855.720000001</v>
      </c>
      <c r="F80" s="36"/>
      <c r="G80" s="39">
        <f t="shared" si="17"/>
        <v>82613156.278399989</v>
      </c>
      <c r="H80" s="38">
        <f t="shared" si="22"/>
        <v>10567855.720000001</v>
      </c>
      <c r="I80" s="38">
        <f t="shared" si="23"/>
        <v>5283927.8600000003</v>
      </c>
      <c r="J80" s="38">
        <f>(D80-H80)*0.5</f>
        <v>0</v>
      </c>
      <c r="K80" s="40">
        <v>0.08</v>
      </c>
      <c r="L80" s="39">
        <f t="shared" si="19"/>
        <v>7031766.7310719993</v>
      </c>
      <c r="M80" s="41">
        <f t="shared" si="20"/>
        <v>75581389.547327995</v>
      </c>
    </row>
    <row r="81" spans="1:13" x14ac:dyDescent="0.25">
      <c r="A81" s="35">
        <v>50</v>
      </c>
      <c r="B81" s="36" t="s">
        <v>48</v>
      </c>
      <c r="C81" s="38">
        <f t="shared" si="16"/>
        <v>198674.51374999998</v>
      </c>
      <c r="D81" s="42">
        <v>168512.85</v>
      </c>
      <c r="E81" s="42">
        <f>D81</f>
        <v>168512.85</v>
      </c>
      <c r="F81" s="36"/>
      <c r="G81" s="39">
        <f t="shared" si="17"/>
        <v>367187.36375000002</v>
      </c>
      <c r="H81" s="38">
        <f t="shared" si="22"/>
        <v>168512.85</v>
      </c>
      <c r="I81" s="38">
        <f t="shared" si="23"/>
        <v>84256.425000000003</v>
      </c>
      <c r="J81" s="38">
        <f>(D81-H81-F81)*0.5</f>
        <v>0</v>
      </c>
      <c r="K81" s="40">
        <v>0.55000000000000004</v>
      </c>
      <c r="L81" s="39">
        <f t="shared" si="19"/>
        <v>248294.08381250003</v>
      </c>
      <c r="M81" s="41">
        <f t="shared" si="20"/>
        <v>118893.27993749999</v>
      </c>
    </row>
    <row r="82" spans="1:13" x14ac:dyDescent="0.25">
      <c r="A82" s="43"/>
      <c r="B82" s="44"/>
      <c r="C82" s="45">
        <f>SUM(C69:C81)</f>
        <v>133457063.02764998</v>
      </c>
      <c r="D82" s="45">
        <f t="shared" ref="D82:J82" si="24">SUM(D69:D81)</f>
        <v>13002355</v>
      </c>
      <c r="E82" s="45">
        <f t="shared" si="24"/>
        <v>13002355</v>
      </c>
      <c r="F82" s="45">
        <f t="shared" si="24"/>
        <v>0</v>
      </c>
      <c r="G82" s="45">
        <f t="shared" si="24"/>
        <v>146459418.02765</v>
      </c>
      <c r="H82" s="45">
        <f t="shared" si="24"/>
        <v>13002355</v>
      </c>
      <c r="I82" s="45">
        <f t="shared" si="24"/>
        <v>6402428.9100000001</v>
      </c>
      <c r="J82" s="45">
        <f t="shared" si="24"/>
        <v>0</v>
      </c>
      <c r="K82" s="46"/>
      <c r="L82" s="47">
        <f>SUM(L69:L81)</f>
        <v>11153814.822525499</v>
      </c>
      <c r="M82" s="48">
        <f>SUM(M69:M81)</f>
        <v>135305603.2051245</v>
      </c>
    </row>
    <row r="83" spans="1:13" hidden="1" outlineLevel="1" collapsed="1" x14ac:dyDescent="0.25">
      <c r="A83" s="22"/>
      <c r="B83" s="23" t="s">
        <v>51</v>
      </c>
    </row>
    <row r="84" spans="1:13" s="22" customFormat="1" hidden="1" outlineLevel="1" x14ac:dyDescent="0.25">
      <c r="A84" s="24"/>
      <c r="B84" s="25"/>
      <c r="C84" s="25">
        <v>2</v>
      </c>
      <c r="D84" s="25">
        <v>3</v>
      </c>
      <c r="E84" s="25">
        <v>4</v>
      </c>
      <c r="F84" s="25">
        <v>8</v>
      </c>
      <c r="G84" s="25">
        <v>9</v>
      </c>
      <c r="H84" s="25">
        <v>11</v>
      </c>
      <c r="I84" s="25">
        <v>12</v>
      </c>
      <c r="J84" s="25">
        <v>13</v>
      </c>
      <c r="K84" s="25">
        <v>14</v>
      </c>
      <c r="L84" s="25">
        <v>17</v>
      </c>
      <c r="M84" s="26">
        <v>18</v>
      </c>
    </row>
    <row r="85" spans="1:13" s="22" customFormat="1" hidden="1" outlineLevel="1" x14ac:dyDescent="0.25">
      <c r="A85" s="27"/>
      <c r="B85" s="28"/>
      <c r="C85" s="28"/>
      <c r="D85" s="28" t="s">
        <v>14</v>
      </c>
      <c r="E85" s="28" t="s">
        <v>15</v>
      </c>
      <c r="F85" s="28" t="s">
        <v>16</v>
      </c>
      <c r="G85" s="28" t="s">
        <v>17</v>
      </c>
      <c r="H85" s="28" t="s">
        <v>18</v>
      </c>
      <c r="I85" s="28" t="s">
        <v>18</v>
      </c>
      <c r="J85" s="28" t="s">
        <v>18</v>
      </c>
      <c r="K85" s="28" t="s">
        <v>19</v>
      </c>
      <c r="L85" s="28" t="s">
        <v>20</v>
      </c>
      <c r="M85" s="29" t="s">
        <v>21</v>
      </c>
    </row>
    <row r="86" spans="1:13" s="22" customFormat="1" hidden="1" outlineLevel="1" x14ac:dyDescent="0.25">
      <c r="A86" s="27"/>
      <c r="B86" s="28"/>
      <c r="C86" s="28" t="s">
        <v>22</v>
      </c>
      <c r="D86" s="28" t="s">
        <v>23</v>
      </c>
      <c r="E86" s="28" t="s">
        <v>24</v>
      </c>
      <c r="F86" s="28" t="s">
        <v>25</v>
      </c>
      <c r="G86" s="30" t="s">
        <v>26</v>
      </c>
      <c r="H86" s="28" t="s">
        <v>27</v>
      </c>
      <c r="I86" s="28" t="s">
        <v>27</v>
      </c>
      <c r="J86" s="28" t="s">
        <v>28</v>
      </c>
      <c r="K86" s="28" t="s">
        <v>29</v>
      </c>
      <c r="L86" s="28" t="s">
        <v>30</v>
      </c>
      <c r="M86" s="29" t="s">
        <v>22</v>
      </c>
    </row>
    <row r="87" spans="1:13" s="22" customFormat="1" hidden="1" outlineLevel="1" x14ac:dyDescent="0.25">
      <c r="A87" s="31" t="s">
        <v>31</v>
      </c>
      <c r="B87" s="32"/>
      <c r="C87" s="33">
        <v>44196</v>
      </c>
      <c r="D87" s="32" t="s">
        <v>32</v>
      </c>
      <c r="E87" s="32" t="s">
        <v>33</v>
      </c>
      <c r="F87" s="32" t="s">
        <v>34</v>
      </c>
      <c r="G87" s="32"/>
      <c r="H87" s="32" t="s">
        <v>20</v>
      </c>
      <c r="I87" s="32" t="s">
        <v>35</v>
      </c>
      <c r="J87" s="32" t="s">
        <v>20</v>
      </c>
      <c r="K87" s="32"/>
      <c r="L87" s="32"/>
      <c r="M87" s="34">
        <v>44561</v>
      </c>
    </row>
    <row r="88" spans="1:13" hidden="1" outlineLevel="1" x14ac:dyDescent="0.25">
      <c r="A88" s="35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7"/>
    </row>
    <row r="89" spans="1:13" hidden="1" outlineLevel="1" x14ac:dyDescent="0.25">
      <c r="A89" s="35">
        <v>1</v>
      </c>
      <c r="B89" s="36" t="s">
        <v>36</v>
      </c>
      <c r="C89" s="38">
        <f t="shared" ref="C89:C101" si="25">M69</f>
        <v>43059864.895488001</v>
      </c>
      <c r="D89" s="36"/>
      <c r="E89" s="36"/>
      <c r="F89" s="36"/>
      <c r="G89" s="39">
        <f t="shared" ref="G89:G101" si="26">C89+D89-F89</f>
        <v>43059864.895488001</v>
      </c>
      <c r="H89" s="38">
        <f t="shared" ref="H89:H94" si="27">E89</f>
        <v>0</v>
      </c>
      <c r="I89" s="38"/>
      <c r="J89" s="38"/>
      <c r="K89" s="40">
        <v>0.04</v>
      </c>
      <c r="L89" s="39">
        <f t="shared" ref="L89:L101" si="28">(G89+I89-J89)*K89</f>
        <v>1722394.5958195201</v>
      </c>
      <c r="M89" s="41">
        <f t="shared" ref="M89:M101" si="29">G89-L89</f>
        <v>41337470.299668483</v>
      </c>
    </row>
    <row r="90" spans="1:13" hidden="1" outlineLevel="1" x14ac:dyDescent="0.25">
      <c r="A90" s="35" t="s">
        <v>37</v>
      </c>
      <c r="B90" s="36" t="s">
        <v>36</v>
      </c>
      <c r="C90" s="38">
        <f t="shared" si="25"/>
        <v>2652327.974136</v>
      </c>
      <c r="D90" s="36"/>
      <c r="E90" s="36"/>
      <c r="F90" s="36"/>
      <c r="G90" s="39">
        <f t="shared" si="26"/>
        <v>2652327.974136</v>
      </c>
      <c r="H90" s="38">
        <f t="shared" si="27"/>
        <v>0</v>
      </c>
      <c r="I90" s="38"/>
      <c r="J90" s="38"/>
      <c r="K90" s="40">
        <v>0.06</v>
      </c>
      <c r="L90" s="39">
        <f t="shared" si="28"/>
        <v>159139.67844816</v>
      </c>
      <c r="M90" s="41">
        <f t="shared" si="29"/>
        <v>2493188.2956878399</v>
      </c>
    </row>
    <row r="91" spans="1:13" hidden="1" outlineLevel="1" x14ac:dyDescent="0.25">
      <c r="A91" s="35" t="s">
        <v>37</v>
      </c>
      <c r="B91" s="36" t="s">
        <v>38</v>
      </c>
      <c r="C91" s="38">
        <f t="shared" si="25"/>
        <v>7357251.7574519999</v>
      </c>
      <c r="D91" s="42">
        <v>235500</v>
      </c>
      <c r="E91" s="42">
        <f>D91</f>
        <v>235500</v>
      </c>
      <c r="F91" s="36"/>
      <c r="G91" s="39">
        <f t="shared" si="26"/>
        <v>7592751.7574519999</v>
      </c>
      <c r="H91" s="38">
        <f t="shared" si="27"/>
        <v>235500</v>
      </c>
      <c r="I91" s="38">
        <f>H91*0.5</f>
        <v>117750</v>
      </c>
      <c r="J91" s="38">
        <f>(D91-H91)*0.5</f>
        <v>0</v>
      </c>
      <c r="K91" s="40">
        <v>0.06</v>
      </c>
      <c r="L91" s="39">
        <f t="shared" si="28"/>
        <v>462630.10544711997</v>
      </c>
      <c r="M91" s="41">
        <f t="shared" si="29"/>
        <v>7130121.6520048799</v>
      </c>
    </row>
    <row r="92" spans="1:13" hidden="1" outlineLevel="1" x14ac:dyDescent="0.25">
      <c r="A92" s="35">
        <v>2</v>
      </c>
      <c r="B92" s="36" t="s">
        <v>39</v>
      </c>
      <c r="C92" s="38">
        <f t="shared" si="25"/>
        <v>2356107.6657920005</v>
      </c>
      <c r="D92" s="42"/>
      <c r="E92" s="42"/>
      <c r="F92" s="36"/>
      <c r="G92" s="39">
        <f t="shared" si="26"/>
        <v>2356107.6657920005</v>
      </c>
      <c r="H92" s="38">
        <f t="shared" si="27"/>
        <v>0</v>
      </c>
      <c r="I92" s="38">
        <f t="shared" ref="I92:I94" si="30">H92*0.5</f>
        <v>0</v>
      </c>
      <c r="J92" s="38"/>
      <c r="K92" s="40">
        <v>0.06</v>
      </c>
      <c r="L92" s="39">
        <f t="shared" si="28"/>
        <v>141366.45994752002</v>
      </c>
      <c r="M92" s="41">
        <f t="shared" si="29"/>
        <v>2214741.2058444805</v>
      </c>
    </row>
    <row r="93" spans="1:13" hidden="1" outlineLevel="1" x14ac:dyDescent="0.25">
      <c r="A93" s="35">
        <v>3</v>
      </c>
      <c r="B93" s="36" t="s">
        <v>40</v>
      </c>
      <c r="C93" s="38">
        <f t="shared" si="25"/>
        <v>890572.56</v>
      </c>
      <c r="D93" s="42"/>
      <c r="E93" s="42"/>
      <c r="F93" s="36"/>
      <c r="G93" s="39">
        <f t="shared" si="26"/>
        <v>890572.56</v>
      </c>
      <c r="H93" s="38">
        <f t="shared" si="27"/>
        <v>0</v>
      </c>
      <c r="I93" s="38">
        <f t="shared" si="30"/>
        <v>0</v>
      </c>
      <c r="J93" s="38"/>
      <c r="K93" s="40">
        <v>0.05</v>
      </c>
      <c r="L93" s="39">
        <f t="shared" si="28"/>
        <v>44528.628000000004</v>
      </c>
      <c r="M93" s="41">
        <f t="shared" si="29"/>
        <v>846043.93200000003</v>
      </c>
    </row>
    <row r="94" spans="1:13" hidden="1" outlineLevel="1" x14ac:dyDescent="0.25">
      <c r="A94" s="35">
        <v>8</v>
      </c>
      <c r="B94" s="36" t="s">
        <v>41</v>
      </c>
      <c r="C94" s="38">
        <f t="shared" si="25"/>
        <v>1202086.932</v>
      </c>
      <c r="D94" s="42">
        <v>287400</v>
      </c>
      <c r="E94" s="42">
        <f>D94</f>
        <v>287400</v>
      </c>
      <c r="F94" s="36"/>
      <c r="G94" s="39">
        <f t="shared" si="26"/>
        <v>1489486.932</v>
      </c>
      <c r="H94" s="38">
        <f t="shared" si="27"/>
        <v>287400</v>
      </c>
      <c r="I94" s="38">
        <f t="shared" si="30"/>
        <v>143700</v>
      </c>
      <c r="J94" s="38">
        <f>(D94-H94)*0.5</f>
        <v>0</v>
      </c>
      <c r="K94" s="40">
        <v>0.2</v>
      </c>
      <c r="L94" s="39">
        <f t="shared" si="28"/>
        <v>326637.38640000002</v>
      </c>
      <c r="M94" s="41">
        <f t="shared" si="29"/>
        <v>1162849.5456000001</v>
      </c>
    </row>
    <row r="95" spans="1:13" hidden="1" outlineLevel="1" x14ac:dyDescent="0.25">
      <c r="A95" s="35">
        <v>10</v>
      </c>
      <c r="B95" s="36" t="s">
        <v>42</v>
      </c>
      <c r="C95" s="38">
        <f t="shared" si="25"/>
        <v>1341960.1465000003</v>
      </c>
      <c r="D95" s="42">
        <v>546000</v>
      </c>
      <c r="E95" s="42">
        <f>D95</f>
        <v>546000</v>
      </c>
      <c r="F95" s="36"/>
      <c r="G95" s="39">
        <f t="shared" si="26"/>
        <v>1887960.1465000003</v>
      </c>
      <c r="H95" s="38">
        <f>E95-F95</f>
        <v>546000</v>
      </c>
      <c r="I95" s="38">
        <f>H95*0.5</f>
        <v>273000</v>
      </c>
      <c r="J95" s="38">
        <f>(D95-F95-H95)*0.5</f>
        <v>0</v>
      </c>
      <c r="K95" s="40">
        <v>0.3</v>
      </c>
      <c r="L95" s="39">
        <f t="shared" si="28"/>
        <v>648288.04395000008</v>
      </c>
      <c r="M95" s="41">
        <f t="shared" si="29"/>
        <v>1239672.1025500002</v>
      </c>
    </row>
    <row r="96" spans="1:13" hidden="1" outlineLevel="1" x14ac:dyDescent="0.25">
      <c r="A96" s="35">
        <v>12</v>
      </c>
      <c r="B96" s="36" t="s">
        <v>43</v>
      </c>
      <c r="C96" s="38">
        <f t="shared" si="25"/>
        <v>0</v>
      </c>
      <c r="D96" s="42">
        <v>274300</v>
      </c>
      <c r="E96" s="42">
        <f>D96</f>
        <v>274300</v>
      </c>
      <c r="F96" s="36"/>
      <c r="G96" s="39">
        <f t="shared" si="26"/>
        <v>274300</v>
      </c>
      <c r="H96" s="38">
        <f t="shared" ref="H96:H101" si="31">E96</f>
        <v>274300</v>
      </c>
      <c r="I96" s="38">
        <v>0</v>
      </c>
      <c r="J96" s="38">
        <f>(D96-H96)*0.5</f>
        <v>0</v>
      </c>
      <c r="K96" s="40">
        <v>1</v>
      </c>
      <c r="L96" s="39">
        <f t="shared" si="28"/>
        <v>274300</v>
      </c>
      <c r="M96" s="41">
        <f t="shared" si="29"/>
        <v>0</v>
      </c>
    </row>
    <row r="97" spans="1:13" hidden="1" outlineLevel="1" x14ac:dyDescent="0.25">
      <c r="A97" s="35">
        <v>14.1</v>
      </c>
      <c r="B97" s="36" t="s">
        <v>44</v>
      </c>
      <c r="C97" s="38">
        <f t="shared" si="25"/>
        <v>587565.09264599998</v>
      </c>
      <c r="D97" s="42"/>
      <c r="E97" s="42"/>
      <c r="F97" s="36"/>
      <c r="G97" s="39">
        <f t="shared" si="26"/>
        <v>587565.09264599998</v>
      </c>
      <c r="H97" s="38">
        <f t="shared" si="31"/>
        <v>0</v>
      </c>
      <c r="I97" s="38">
        <f t="shared" ref="I97:I101" si="32">H97*0.5</f>
        <v>0</v>
      </c>
      <c r="J97" s="38"/>
      <c r="K97" s="40">
        <v>7.0000000000000007E-2</v>
      </c>
      <c r="L97" s="39">
        <f t="shared" si="28"/>
        <v>41129.556485220004</v>
      </c>
      <c r="M97" s="41">
        <f t="shared" si="29"/>
        <v>546435.53616078</v>
      </c>
    </row>
    <row r="98" spans="1:13" hidden="1" outlineLevel="1" x14ac:dyDescent="0.25">
      <c r="A98" s="35">
        <v>17</v>
      </c>
      <c r="B98" s="36" t="s">
        <v>45</v>
      </c>
      <c r="C98" s="38">
        <f t="shared" si="25"/>
        <v>157540.26272</v>
      </c>
      <c r="D98" s="42"/>
      <c r="E98" s="42"/>
      <c r="F98" s="36"/>
      <c r="G98" s="39">
        <f t="shared" si="26"/>
        <v>157540.26272</v>
      </c>
      <c r="H98" s="38">
        <f t="shared" si="31"/>
        <v>0</v>
      </c>
      <c r="I98" s="38">
        <f t="shared" si="32"/>
        <v>0</v>
      </c>
      <c r="J98" s="38"/>
      <c r="K98" s="40">
        <v>0.08</v>
      </c>
      <c r="L98" s="39">
        <f t="shared" si="28"/>
        <v>12603.221017600001</v>
      </c>
      <c r="M98" s="41">
        <f t="shared" si="29"/>
        <v>144937.04170239999</v>
      </c>
    </row>
    <row r="99" spans="1:13" hidden="1" outlineLevel="1" x14ac:dyDescent="0.25">
      <c r="A99" s="35">
        <v>45</v>
      </c>
      <c r="B99" s="36" t="s">
        <v>46</v>
      </c>
      <c r="C99" s="38">
        <f t="shared" si="25"/>
        <v>43.091124999999998</v>
      </c>
      <c r="D99" s="42"/>
      <c r="E99" s="42"/>
      <c r="F99" s="36"/>
      <c r="G99" s="39">
        <f t="shared" si="26"/>
        <v>43.091124999999998</v>
      </c>
      <c r="H99" s="38">
        <f t="shared" si="31"/>
        <v>0</v>
      </c>
      <c r="I99" s="38">
        <f t="shared" si="32"/>
        <v>0</v>
      </c>
      <c r="J99" s="38"/>
      <c r="K99" s="40">
        <v>0.45</v>
      </c>
      <c r="L99" s="39">
        <f t="shared" si="28"/>
        <v>19.39100625</v>
      </c>
      <c r="M99" s="41">
        <f t="shared" si="29"/>
        <v>23.700118749999998</v>
      </c>
    </row>
    <row r="100" spans="1:13" hidden="1" outlineLevel="1" x14ac:dyDescent="0.25">
      <c r="A100" s="35">
        <v>47</v>
      </c>
      <c r="B100" s="36" t="s">
        <v>47</v>
      </c>
      <c r="C100" s="38">
        <f t="shared" si="25"/>
        <v>75581389.547327995</v>
      </c>
      <c r="D100" s="42">
        <v>11124070.309999999</v>
      </c>
      <c r="E100" s="42">
        <f>D100</f>
        <v>11124070.309999999</v>
      </c>
      <c r="F100" s="36"/>
      <c r="G100" s="39">
        <f t="shared" si="26"/>
        <v>86705459.857327998</v>
      </c>
      <c r="H100" s="38">
        <f t="shared" si="31"/>
        <v>11124070.309999999</v>
      </c>
      <c r="I100" s="38">
        <f t="shared" si="32"/>
        <v>5562035.1549999993</v>
      </c>
      <c r="J100" s="38">
        <f>(D100-H100)*0.5</f>
        <v>0</v>
      </c>
      <c r="K100" s="40">
        <v>0.08</v>
      </c>
      <c r="L100" s="39">
        <f t="shared" si="28"/>
        <v>7381399.6009862404</v>
      </c>
      <c r="M100" s="41">
        <f t="shared" si="29"/>
        <v>79324060.256341755</v>
      </c>
    </row>
    <row r="101" spans="1:13" hidden="1" outlineLevel="1" x14ac:dyDescent="0.25">
      <c r="A101" s="35">
        <v>50</v>
      </c>
      <c r="B101" s="36" t="s">
        <v>48</v>
      </c>
      <c r="C101" s="38">
        <f t="shared" si="25"/>
        <v>118893.27993749999</v>
      </c>
      <c r="D101" s="42">
        <v>332780</v>
      </c>
      <c r="E101" s="42">
        <f>D101</f>
        <v>332780</v>
      </c>
      <c r="F101" s="36"/>
      <c r="G101" s="39">
        <f t="shared" si="26"/>
        <v>451673.27993750002</v>
      </c>
      <c r="H101" s="38">
        <f t="shared" si="31"/>
        <v>332780</v>
      </c>
      <c r="I101" s="38">
        <f t="shared" si="32"/>
        <v>166390</v>
      </c>
      <c r="J101" s="38">
        <f>(D101-H101-F101)*0.5</f>
        <v>0</v>
      </c>
      <c r="K101" s="40">
        <v>0.55000000000000004</v>
      </c>
      <c r="L101" s="39">
        <f t="shared" si="28"/>
        <v>339934.80396562506</v>
      </c>
      <c r="M101" s="41">
        <f t="shared" si="29"/>
        <v>111738.47597187496</v>
      </c>
    </row>
    <row r="102" spans="1:13" hidden="1" outlineLevel="1" x14ac:dyDescent="0.25">
      <c r="A102" s="43"/>
      <c r="B102" s="44"/>
      <c r="C102" s="45">
        <f>SUM(C89:C101)</f>
        <v>135305603.2051245</v>
      </c>
      <c r="D102" s="45">
        <f t="shared" ref="D102:J102" si="33">SUM(D89:D101)</f>
        <v>12800050.309999999</v>
      </c>
      <c r="E102" s="45">
        <f t="shared" si="33"/>
        <v>12800050.309999999</v>
      </c>
      <c r="F102" s="45">
        <f t="shared" si="33"/>
        <v>0</v>
      </c>
      <c r="G102" s="45">
        <f t="shared" si="33"/>
        <v>148105653.5151245</v>
      </c>
      <c r="H102" s="45">
        <f t="shared" si="33"/>
        <v>12800050.309999999</v>
      </c>
      <c r="I102" s="45">
        <f t="shared" si="33"/>
        <v>6262875.1549999993</v>
      </c>
      <c r="J102" s="45">
        <f t="shared" si="33"/>
        <v>0</v>
      </c>
      <c r="K102" s="46"/>
      <c r="L102" s="47">
        <f>SUM(L89:L101)</f>
        <v>11554371.471473254</v>
      </c>
      <c r="M102" s="48">
        <f>SUM(M89:M101)</f>
        <v>136551282.04365125</v>
      </c>
    </row>
    <row r="103" spans="1:13" hidden="1" outlineLevel="1" x14ac:dyDescent="0.25"/>
    <row r="104" spans="1:13" collapsed="1" x14ac:dyDescent="0.25">
      <c r="A104" s="22"/>
      <c r="B104" s="49" t="s">
        <v>52</v>
      </c>
    </row>
    <row r="105" spans="1:13" x14ac:dyDescent="0.25">
      <c r="A105" s="22"/>
      <c r="B105" s="22" t="s">
        <v>53</v>
      </c>
    </row>
    <row r="106" spans="1:13" s="22" customFormat="1" x14ac:dyDescent="0.25">
      <c r="C106" s="22">
        <v>2</v>
      </c>
      <c r="D106" s="22">
        <v>3</v>
      </c>
      <c r="E106" s="22">
        <v>4</v>
      </c>
      <c r="F106" s="22">
        <v>5</v>
      </c>
      <c r="G106" s="22">
        <v>6</v>
      </c>
      <c r="H106" s="22">
        <v>7</v>
      </c>
      <c r="I106" s="22">
        <v>8</v>
      </c>
      <c r="J106" s="22">
        <v>11</v>
      </c>
      <c r="K106" s="22">
        <v>12</v>
      </c>
    </row>
    <row r="107" spans="1:13" s="22" customFormat="1" x14ac:dyDescent="0.25">
      <c r="D107" s="22" t="s">
        <v>14</v>
      </c>
      <c r="E107" s="22" t="s">
        <v>54</v>
      </c>
      <c r="F107" s="22" t="s">
        <v>16</v>
      </c>
      <c r="G107" s="22" t="s">
        <v>55</v>
      </c>
      <c r="H107" s="22" t="s">
        <v>17</v>
      </c>
      <c r="I107" s="22" t="s">
        <v>19</v>
      </c>
      <c r="J107" s="22" t="s">
        <v>20</v>
      </c>
      <c r="K107" s="22" t="s">
        <v>21</v>
      </c>
    </row>
    <row r="108" spans="1:13" s="22" customFormat="1" x14ac:dyDescent="0.25">
      <c r="C108" s="22" t="s">
        <v>22</v>
      </c>
      <c r="D108" s="22" t="s">
        <v>23</v>
      </c>
      <c r="E108" s="22" t="s">
        <v>56</v>
      </c>
      <c r="F108" s="22" t="s">
        <v>25</v>
      </c>
      <c r="G108" s="22" t="s">
        <v>57</v>
      </c>
      <c r="H108" s="50" t="s">
        <v>58</v>
      </c>
      <c r="I108" s="22" t="s">
        <v>29</v>
      </c>
      <c r="J108" s="22" t="s">
        <v>30</v>
      </c>
      <c r="K108" s="22" t="s">
        <v>22</v>
      </c>
    </row>
    <row r="109" spans="1:13" s="22" customFormat="1" x14ac:dyDescent="0.25">
      <c r="A109" s="22" t="s">
        <v>31</v>
      </c>
      <c r="C109" s="51">
        <v>43100</v>
      </c>
      <c r="D109" s="22" t="s">
        <v>32</v>
      </c>
      <c r="F109" s="22" t="s">
        <v>34</v>
      </c>
      <c r="K109" s="51">
        <v>43465</v>
      </c>
    </row>
    <row r="110" spans="1:13" x14ac:dyDescent="0.25">
      <c r="A110" s="22"/>
    </row>
    <row r="111" spans="1:13" x14ac:dyDescent="0.25">
      <c r="A111" s="22">
        <v>1</v>
      </c>
      <c r="B111" t="s">
        <v>36</v>
      </c>
      <c r="C111" s="52">
        <f t="shared" ref="C111:C123" si="34">C8</f>
        <v>48669733</v>
      </c>
      <c r="D111" s="52">
        <f t="shared" ref="D111:D123" si="35">D8+E8</f>
        <v>0</v>
      </c>
      <c r="F111">
        <f t="shared" ref="F111:F123" si="36">F8</f>
        <v>0</v>
      </c>
      <c r="G111" s="53">
        <f>(D111-F111)*0.5</f>
        <v>0</v>
      </c>
      <c r="H111" s="54">
        <f>C111+D111+E111-F111-G111</f>
        <v>48669733</v>
      </c>
      <c r="I111" s="55">
        <v>0.04</v>
      </c>
      <c r="J111" s="54">
        <f>H111*I111</f>
        <v>1946789.32</v>
      </c>
      <c r="K111" s="54">
        <f>G111+H111-J111</f>
        <v>46722943.68</v>
      </c>
    </row>
    <row r="112" spans="1:13" x14ac:dyDescent="0.25">
      <c r="A112" s="22" t="s">
        <v>37</v>
      </c>
      <c r="B112" t="s">
        <v>36</v>
      </c>
      <c r="C112" s="52">
        <f t="shared" si="34"/>
        <v>3193329</v>
      </c>
      <c r="D112" s="52">
        <f t="shared" si="35"/>
        <v>0</v>
      </c>
      <c r="F112">
        <f t="shared" si="36"/>
        <v>0</v>
      </c>
      <c r="G112" s="53">
        <f t="shared" ref="G112:G123" si="37">(D112-F112)*0.5</f>
        <v>0</v>
      </c>
      <c r="H112" s="54">
        <f t="shared" ref="H112:H123" si="38">C112+D112+E112-F112-G112</f>
        <v>3193329</v>
      </c>
      <c r="I112" s="55">
        <v>0.06</v>
      </c>
      <c r="J112" s="54">
        <f t="shared" ref="J112:J123" si="39">H112*I112</f>
        <v>191599.74</v>
      </c>
      <c r="K112" s="54">
        <f t="shared" ref="K112:K123" si="40">G112+H112-J112</f>
        <v>3001729.26</v>
      </c>
    </row>
    <row r="113" spans="1:13" x14ac:dyDescent="0.25">
      <c r="A113" s="22" t="s">
        <v>37</v>
      </c>
      <c r="B113" t="s">
        <v>38</v>
      </c>
      <c r="C113" s="52">
        <f t="shared" si="34"/>
        <v>3880144</v>
      </c>
      <c r="D113" s="52">
        <f t="shared" si="35"/>
        <v>1327316</v>
      </c>
      <c r="E113" s="52"/>
      <c r="F113">
        <f t="shared" si="36"/>
        <v>0</v>
      </c>
      <c r="G113" s="53">
        <f t="shared" si="37"/>
        <v>663658</v>
      </c>
      <c r="H113" s="54">
        <f t="shared" si="38"/>
        <v>4543802</v>
      </c>
      <c r="I113" s="55">
        <v>0.06</v>
      </c>
      <c r="J113" s="54">
        <f t="shared" si="39"/>
        <v>272628.12</v>
      </c>
      <c r="K113" s="54">
        <f t="shared" si="40"/>
        <v>4934831.88</v>
      </c>
    </row>
    <row r="114" spans="1:13" x14ac:dyDescent="0.25">
      <c r="A114" s="22">
        <v>2</v>
      </c>
      <c r="B114" t="s">
        <v>39</v>
      </c>
      <c r="C114" s="52">
        <f t="shared" si="34"/>
        <v>2836688</v>
      </c>
      <c r="D114" s="52">
        <f t="shared" si="35"/>
        <v>0</v>
      </c>
      <c r="E114" s="52"/>
      <c r="F114">
        <f t="shared" si="36"/>
        <v>0</v>
      </c>
      <c r="G114" s="53">
        <f t="shared" si="37"/>
        <v>0</v>
      </c>
      <c r="H114" s="54">
        <f t="shared" si="38"/>
        <v>2836688</v>
      </c>
      <c r="I114" s="55">
        <v>0.06</v>
      </c>
      <c r="J114" s="54">
        <f t="shared" si="39"/>
        <v>170201.28</v>
      </c>
      <c r="K114" s="54">
        <f t="shared" si="40"/>
        <v>2666486.7200000002</v>
      </c>
    </row>
    <row r="115" spans="1:13" x14ac:dyDescent="0.25">
      <c r="A115" s="22">
        <v>3</v>
      </c>
      <c r="B115" t="s">
        <v>40</v>
      </c>
      <c r="C115" s="52">
        <f t="shared" si="34"/>
        <v>1038720</v>
      </c>
      <c r="D115" s="52">
        <f t="shared" si="35"/>
        <v>0</v>
      </c>
      <c r="E115" s="52"/>
      <c r="F115">
        <f t="shared" si="36"/>
        <v>0</v>
      </c>
      <c r="G115" s="53">
        <f t="shared" si="37"/>
        <v>0</v>
      </c>
      <c r="H115" s="54">
        <f t="shared" si="38"/>
        <v>1038720</v>
      </c>
      <c r="I115" s="55">
        <v>0.05</v>
      </c>
      <c r="J115" s="54">
        <f t="shared" si="39"/>
        <v>51936</v>
      </c>
      <c r="K115" s="54">
        <f t="shared" si="40"/>
        <v>986784</v>
      </c>
    </row>
    <row r="116" spans="1:13" x14ac:dyDescent="0.25">
      <c r="A116" s="22">
        <v>8</v>
      </c>
      <c r="B116" t="s">
        <v>41</v>
      </c>
      <c r="C116" s="52">
        <f t="shared" si="34"/>
        <v>1283260</v>
      </c>
      <c r="D116" s="52">
        <f t="shared" si="35"/>
        <v>341722</v>
      </c>
      <c r="E116" s="52"/>
      <c r="F116">
        <f t="shared" si="36"/>
        <v>0</v>
      </c>
      <c r="G116" s="53">
        <f t="shared" si="37"/>
        <v>170861</v>
      </c>
      <c r="H116" s="54">
        <f t="shared" si="38"/>
        <v>1454121</v>
      </c>
      <c r="I116" s="55">
        <v>0.2</v>
      </c>
      <c r="J116" s="54">
        <f t="shared" si="39"/>
        <v>290824.2</v>
      </c>
      <c r="K116" s="54">
        <f t="shared" si="40"/>
        <v>1334157.8</v>
      </c>
    </row>
    <row r="117" spans="1:13" x14ac:dyDescent="0.25">
      <c r="A117" s="22">
        <v>10</v>
      </c>
      <c r="B117" t="s">
        <v>42</v>
      </c>
      <c r="C117" s="52">
        <f t="shared" si="34"/>
        <v>2434193</v>
      </c>
      <c r="D117" s="52">
        <f t="shared" si="35"/>
        <v>518258</v>
      </c>
      <c r="E117" s="52"/>
      <c r="F117">
        <f t="shared" si="36"/>
        <v>5133</v>
      </c>
      <c r="G117" s="53">
        <f t="shared" si="37"/>
        <v>256562.5</v>
      </c>
      <c r="H117" s="54">
        <f t="shared" si="38"/>
        <v>2690755.5</v>
      </c>
      <c r="I117" s="55">
        <v>0.3</v>
      </c>
      <c r="J117" s="54">
        <f t="shared" si="39"/>
        <v>807226.65</v>
      </c>
      <c r="K117" s="54">
        <f t="shared" si="40"/>
        <v>2140091.35</v>
      </c>
    </row>
    <row r="118" spans="1:13" x14ac:dyDescent="0.25">
      <c r="A118" s="22">
        <v>12</v>
      </c>
      <c r="B118" t="s">
        <v>43</v>
      </c>
      <c r="C118" s="52">
        <f t="shared" si="34"/>
        <v>355448</v>
      </c>
      <c r="D118" s="52">
        <f t="shared" si="35"/>
        <v>435297</v>
      </c>
      <c r="E118" s="52"/>
      <c r="F118">
        <f t="shared" si="36"/>
        <v>0</v>
      </c>
      <c r="G118" s="53">
        <f t="shared" si="37"/>
        <v>217648.5</v>
      </c>
      <c r="H118" s="54">
        <f t="shared" si="38"/>
        <v>573096.5</v>
      </c>
      <c r="I118" s="55">
        <v>1</v>
      </c>
      <c r="J118" s="54">
        <f t="shared" si="39"/>
        <v>573096.5</v>
      </c>
      <c r="K118" s="54">
        <f t="shared" si="40"/>
        <v>217648.5</v>
      </c>
    </row>
    <row r="119" spans="1:13" x14ac:dyDescent="0.25">
      <c r="A119" s="22">
        <v>14.1</v>
      </c>
      <c r="B119" t="s">
        <v>44</v>
      </c>
      <c r="C119" s="52">
        <f t="shared" si="34"/>
        <v>730478</v>
      </c>
      <c r="D119" s="52">
        <f t="shared" si="35"/>
        <v>0</v>
      </c>
      <c r="E119" s="52"/>
      <c r="F119">
        <f t="shared" si="36"/>
        <v>0</v>
      </c>
      <c r="G119" s="53">
        <f t="shared" si="37"/>
        <v>0</v>
      </c>
      <c r="H119" s="54">
        <f t="shared" si="38"/>
        <v>730478</v>
      </c>
      <c r="I119" s="56">
        <v>7.0000000000000007E-2</v>
      </c>
      <c r="J119" s="54">
        <f t="shared" si="39"/>
        <v>51133.460000000006</v>
      </c>
      <c r="K119" s="54">
        <f t="shared" si="40"/>
        <v>679344.54</v>
      </c>
    </row>
    <row r="120" spans="1:13" x14ac:dyDescent="0.25">
      <c r="A120" s="22">
        <v>17</v>
      </c>
      <c r="B120" t="s">
        <v>45</v>
      </c>
      <c r="C120" s="52">
        <f t="shared" si="34"/>
        <v>202315</v>
      </c>
      <c r="D120" s="52">
        <f t="shared" si="35"/>
        <v>0</v>
      </c>
      <c r="E120" s="52"/>
      <c r="F120">
        <f t="shared" si="36"/>
        <v>0</v>
      </c>
      <c r="G120" s="53">
        <f t="shared" si="37"/>
        <v>0</v>
      </c>
      <c r="H120" s="54">
        <f t="shared" si="38"/>
        <v>202315</v>
      </c>
      <c r="I120" s="55">
        <v>0.08</v>
      </c>
      <c r="J120" s="54">
        <f t="shared" si="39"/>
        <v>16185.2</v>
      </c>
      <c r="K120" s="54">
        <f t="shared" si="40"/>
        <v>186129.8</v>
      </c>
    </row>
    <row r="121" spans="1:13" x14ac:dyDescent="0.25">
      <c r="A121" s="22">
        <v>45</v>
      </c>
      <c r="B121" t="s">
        <v>46</v>
      </c>
      <c r="C121" s="52">
        <f t="shared" si="34"/>
        <v>259</v>
      </c>
      <c r="D121" s="52">
        <f t="shared" si="35"/>
        <v>0</v>
      </c>
      <c r="E121" s="52"/>
      <c r="F121">
        <f t="shared" si="36"/>
        <v>0</v>
      </c>
      <c r="G121" s="53">
        <f t="shared" si="37"/>
        <v>0</v>
      </c>
      <c r="H121" s="54">
        <f t="shared" si="38"/>
        <v>259</v>
      </c>
      <c r="I121" s="55">
        <v>0.45</v>
      </c>
      <c r="J121" s="54">
        <f t="shared" si="39"/>
        <v>116.55</v>
      </c>
      <c r="K121" s="54">
        <f t="shared" si="40"/>
        <v>142.44999999999999</v>
      </c>
    </row>
    <row r="122" spans="1:13" x14ac:dyDescent="0.25">
      <c r="A122" s="22">
        <v>47</v>
      </c>
      <c r="B122" t="s">
        <v>47</v>
      </c>
      <c r="C122" s="52">
        <f t="shared" si="34"/>
        <v>68927140</v>
      </c>
      <c r="D122" s="52">
        <f t="shared" si="35"/>
        <v>10840909</v>
      </c>
      <c r="E122" s="52"/>
      <c r="F122">
        <f t="shared" si="36"/>
        <v>0</v>
      </c>
      <c r="G122" s="53">
        <f t="shared" si="37"/>
        <v>5420454.5</v>
      </c>
      <c r="H122" s="54">
        <f>C122+D122+E122-F122-G122-2471485</f>
        <v>71876109.5</v>
      </c>
      <c r="I122" s="55">
        <v>0.08</v>
      </c>
      <c r="J122" s="54">
        <f t="shared" si="39"/>
        <v>5750088.7599999998</v>
      </c>
      <c r="K122" s="54">
        <f t="shared" si="40"/>
        <v>71546475.239999995</v>
      </c>
    </row>
    <row r="123" spans="1:13" x14ac:dyDescent="0.25">
      <c r="A123" s="22">
        <v>50</v>
      </c>
      <c r="B123" t="s">
        <v>48</v>
      </c>
      <c r="C123" s="52">
        <f t="shared" si="34"/>
        <v>344053</v>
      </c>
      <c r="D123" s="52">
        <f t="shared" si="35"/>
        <v>314291</v>
      </c>
      <c r="E123" s="52"/>
      <c r="F123">
        <f t="shared" si="36"/>
        <v>0</v>
      </c>
      <c r="G123" s="53">
        <f t="shared" si="37"/>
        <v>157145.5</v>
      </c>
      <c r="H123" s="54">
        <f t="shared" si="38"/>
        <v>501198.5</v>
      </c>
      <c r="I123" s="55">
        <v>0.55000000000000004</v>
      </c>
      <c r="J123" s="54">
        <f t="shared" si="39"/>
        <v>275659.17500000005</v>
      </c>
      <c r="K123" s="54">
        <f t="shared" si="40"/>
        <v>382684.82499999995</v>
      </c>
    </row>
    <row r="124" spans="1:13" ht="15.75" thickBot="1" x14ac:dyDescent="0.3">
      <c r="A124" s="22"/>
      <c r="C124" s="57">
        <f>SUM(C111:C123)</f>
        <v>133895760</v>
      </c>
      <c r="D124" s="57">
        <f t="shared" ref="D124:H124" si="41">SUM(D111:D123)</f>
        <v>13777793</v>
      </c>
      <c r="E124" s="57">
        <f t="shared" si="41"/>
        <v>0</v>
      </c>
      <c r="F124" s="57">
        <f t="shared" si="41"/>
        <v>5133</v>
      </c>
      <c r="G124" s="57">
        <f t="shared" si="41"/>
        <v>6886330</v>
      </c>
      <c r="H124" s="57">
        <f t="shared" si="41"/>
        <v>138310605</v>
      </c>
      <c r="I124" s="58"/>
      <c r="J124" s="59">
        <f>SUM(J111:J123)</f>
        <v>10397484.955000002</v>
      </c>
      <c r="K124" s="60">
        <f>SUM(K111:K123)</f>
        <v>134799450.04499999</v>
      </c>
    </row>
    <row r="125" spans="1:13" ht="15.75" thickTop="1" x14ac:dyDescent="0.25">
      <c r="A125" s="22"/>
      <c r="B125" s="49" t="s">
        <v>59</v>
      </c>
    </row>
    <row r="126" spans="1:13" x14ac:dyDescent="0.25">
      <c r="A126" s="22"/>
      <c r="B126" s="22" t="s">
        <v>53</v>
      </c>
    </row>
    <row r="127" spans="1:13" s="22" customFormat="1" x14ac:dyDescent="0.25">
      <c r="C127" s="22">
        <v>2</v>
      </c>
      <c r="D127" s="22">
        <v>3</v>
      </c>
      <c r="E127" s="22">
        <v>4</v>
      </c>
      <c r="F127" s="22">
        <v>5</v>
      </c>
      <c r="G127" s="22">
        <v>6</v>
      </c>
      <c r="H127" s="22">
        <v>7</v>
      </c>
      <c r="I127" s="22">
        <v>8</v>
      </c>
      <c r="J127" s="22">
        <v>11</v>
      </c>
      <c r="K127" s="22">
        <v>12</v>
      </c>
      <c r="L127" s="61"/>
      <c r="M127" s="61"/>
    </row>
    <row r="128" spans="1:13" s="22" customFormat="1" x14ac:dyDescent="0.25">
      <c r="D128" s="22" t="s">
        <v>14</v>
      </c>
      <c r="E128" s="22" t="s">
        <v>54</v>
      </c>
      <c r="F128" s="22" t="s">
        <v>16</v>
      </c>
      <c r="G128" s="22" t="s">
        <v>55</v>
      </c>
      <c r="H128" s="22" t="s">
        <v>17</v>
      </c>
      <c r="I128" s="22" t="s">
        <v>19</v>
      </c>
      <c r="J128" s="22" t="s">
        <v>20</v>
      </c>
      <c r="K128" s="22" t="s">
        <v>21</v>
      </c>
      <c r="L128" s="61"/>
      <c r="M128" s="61"/>
    </row>
    <row r="129" spans="1:13" s="22" customFormat="1" x14ac:dyDescent="0.25">
      <c r="C129" s="22" t="s">
        <v>22</v>
      </c>
      <c r="D129" s="22" t="s">
        <v>23</v>
      </c>
      <c r="E129" s="22" t="s">
        <v>56</v>
      </c>
      <c r="F129" s="22" t="s">
        <v>25</v>
      </c>
      <c r="G129" s="22" t="s">
        <v>57</v>
      </c>
      <c r="H129" s="50" t="s">
        <v>58</v>
      </c>
      <c r="I129" s="22" t="s">
        <v>29</v>
      </c>
      <c r="J129" s="22" t="s">
        <v>30</v>
      </c>
      <c r="K129" s="22" t="s">
        <v>22</v>
      </c>
      <c r="L129" s="61"/>
      <c r="M129" s="61"/>
    </row>
    <row r="130" spans="1:13" s="22" customFormat="1" x14ac:dyDescent="0.25">
      <c r="A130" s="22" t="s">
        <v>31</v>
      </c>
      <c r="C130" s="51">
        <v>43465</v>
      </c>
      <c r="D130" s="22" t="s">
        <v>32</v>
      </c>
      <c r="F130" s="22" t="s">
        <v>34</v>
      </c>
      <c r="K130" s="51">
        <v>43830</v>
      </c>
      <c r="L130" s="61"/>
      <c r="M130" s="62"/>
    </row>
    <row r="131" spans="1:13" x14ac:dyDescent="0.25">
      <c r="A131" s="22"/>
      <c r="L131" s="63"/>
      <c r="M131" s="63"/>
    </row>
    <row r="132" spans="1:13" x14ac:dyDescent="0.25">
      <c r="A132" s="22">
        <v>1</v>
      </c>
      <c r="B132" t="s">
        <v>36</v>
      </c>
      <c r="C132" s="52">
        <f t="shared" ref="C132:C144" si="42">K111</f>
        <v>46722943.68</v>
      </c>
      <c r="D132" s="52">
        <f t="shared" ref="D132:D144" si="43">D29</f>
        <v>0</v>
      </c>
      <c r="F132">
        <f t="shared" ref="F132:F144" si="44">F29</f>
        <v>0</v>
      </c>
      <c r="G132" s="53">
        <f>(D132-F132)*0.5</f>
        <v>0</v>
      </c>
      <c r="H132" s="54">
        <f>C132+D132+E132-F132-G132</f>
        <v>46722943.68</v>
      </c>
      <c r="I132" s="55">
        <v>0.04</v>
      </c>
      <c r="J132" s="54">
        <f>H132*I132</f>
        <v>1868917.7472000001</v>
      </c>
      <c r="K132" s="54">
        <f>G132+H132-J132</f>
        <v>44854025.932800002</v>
      </c>
      <c r="L132" s="64"/>
      <c r="M132" s="64"/>
    </row>
    <row r="133" spans="1:13" x14ac:dyDescent="0.25">
      <c r="A133" s="22" t="s">
        <v>37</v>
      </c>
      <c r="B133" t="s">
        <v>36</v>
      </c>
      <c r="C133" s="52">
        <f t="shared" si="42"/>
        <v>3001729.26</v>
      </c>
      <c r="D133" s="52">
        <f t="shared" si="43"/>
        <v>0</v>
      </c>
      <c r="F133">
        <f t="shared" si="44"/>
        <v>0</v>
      </c>
      <c r="G133" s="53">
        <f t="shared" ref="G133:G144" si="45">(D133-F133)*0.5</f>
        <v>0</v>
      </c>
      <c r="H133" s="54">
        <f t="shared" ref="H133:H144" si="46">C133+D133+E133-F133-G133</f>
        <v>3001729.26</v>
      </c>
      <c r="I133" s="55">
        <v>0.06</v>
      </c>
      <c r="J133" s="54">
        <f t="shared" ref="J133:J144" si="47">H133*I133</f>
        <v>180103.75559999997</v>
      </c>
      <c r="K133" s="54">
        <f t="shared" ref="K133:K144" si="48">G133+H133-J133</f>
        <v>2821625.5044</v>
      </c>
      <c r="L133" s="64"/>
      <c r="M133" s="64"/>
    </row>
    <row r="134" spans="1:13" x14ac:dyDescent="0.25">
      <c r="A134" s="22" t="s">
        <v>37</v>
      </c>
      <c r="B134" t="s">
        <v>38</v>
      </c>
      <c r="C134" s="52">
        <f t="shared" si="42"/>
        <v>4934831.88</v>
      </c>
      <c r="D134" s="52">
        <f t="shared" si="43"/>
        <v>2037896</v>
      </c>
      <c r="E134" s="52"/>
      <c r="F134">
        <f t="shared" si="44"/>
        <v>0</v>
      </c>
      <c r="G134" s="53">
        <f t="shared" si="45"/>
        <v>1018948</v>
      </c>
      <c r="H134" s="54">
        <f t="shared" si="46"/>
        <v>5953779.8799999999</v>
      </c>
      <c r="I134" s="55">
        <v>0.06</v>
      </c>
      <c r="J134" s="54">
        <f t="shared" si="47"/>
        <v>357226.7928</v>
      </c>
      <c r="K134" s="54">
        <f t="shared" si="48"/>
        <v>6615501.0872</v>
      </c>
      <c r="L134" s="64"/>
      <c r="M134" s="64"/>
    </row>
    <row r="135" spans="1:13" x14ac:dyDescent="0.25">
      <c r="A135" s="22">
        <v>2</v>
      </c>
      <c r="B135" t="s">
        <v>39</v>
      </c>
      <c r="C135" s="52">
        <f t="shared" si="42"/>
        <v>2666486.7200000002</v>
      </c>
      <c r="D135" s="52">
        <f t="shared" si="43"/>
        <v>0</v>
      </c>
      <c r="E135" s="52"/>
      <c r="F135">
        <f t="shared" si="44"/>
        <v>0</v>
      </c>
      <c r="G135" s="53">
        <f t="shared" si="45"/>
        <v>0</v>
      </c>
      <c r="H135" s="54">
        <f t="shared" si="46"/>
        <v>2666486.7200000002</v>
      </c>
      <c r="I135" s="55">
        <v>0.06</v>
      </c>
      <c r="J135" s="54">
        <f t="shared" si="47"/>
        <v>159989.20320000002</v>
      </c>
      <c r="K135" s="54">
        <f t="shared" si="48"/>
        <v>2506497.5168000003</v>
      </c>
      <c r="L135" s="64"/>
      <c r="M135" s="64"/>
    </row>
    <row r="136" spans="1:13" x14ac:dyDescent="0.25">
      <c r="A136" s="22">
        <v>3</v>
      </c>
      <c r="B136" t="s">
        <v>40</v>
      </c>
      <c r="C136" s="52">
        <f t="shared" si="42"/>
        <v>986784</v>
      </c>
      <c r="D136" s="52">
        <f t="shared" si="43"/>
        <v>0</v>
      </c>
      <c r="E136" s="52"/>
      <c r="F136">
        <f t="shared" si="44"/>
        <v>0</v>
      </c>
      <c r="G136" s="53">
        <f t="shared" si="45"/>
        <v>0</v>
      </c>
      <c r="H136" s="54">
        <f t="shared" si="46"/>
        <v>986784</v>
      </c>
      <c r="I136" s="55">
        <v>0.05</v>
      </c>
      <c r="J136" s="54">
        <f t="shared" si="47"/>
        <v>49339.200000000004</v>
      </c>
      <c r="K136" s="54">
        <f t="shared" si="48"/>
        <v>937444.8</v>
      </c>
      <c r="L136" s="64"/>
      <c r="M136" s="64"/>
    </row>
    <row r="137" spans="1:13" x14ac:dyDescent="0.25">
      <c r="A137" s="22">
        <v>8</v>
      </c>
      <c r="B137" t="s">
        <v>41</v>
      </c>
      <c r="C137" s="52">
        <f t="shared" si="42"/>
        <v>1334157.8</v>
      </c>
      <c r="D137" s="52">
        <f t="shared" si="43"/>
        <v>307359</v>
      </c>
      <c r="E137" s="52"/>
      <c r="F137">
        <f t="shared" si="44"/>
        <v>0</v>
      </c>
      <c r="G137" s="53">
        <f t="shared" si="45"/>
        <v>153679.5</v>
      </c>
      <c r="H137" s="54">
        <f t="shared" si="46"/>
        <v>1487837.3</v>
      </c>
      <c r="I137" s="55">
        <v>0.2</v>
      </c>
      <c r="J137" s="54">
        <f t="shared" si="47"/>
        <v>297567.46000000002</v>
      </c>
      <c r="K137" s="54">
        <f t="shared" si="48"/>
        <v>1343949.34</v>
      </c>
      <c r="L137" s="64"/>
      <c r="M137" s="64"/>
    </row>
    <row r="138" spans="1:13" x14ac:dyDescent="0.25">
      <c r="A138" s="22">
        <v>10</v>
      </c>
      <c r="B138" t="s">
        <v>42</v>
      </c>
      <c r="C138" s="52">
        <f t="shared" si="42"/>
        <v>2140091.35</v>
      </c>
      <c r="D138" s="52">
        <f t="shared" si="43"/>
        <v>599766</v>
      </c>
      <c r="E138" s="52"/>
      <c r="F138">
        <f t="shared" si="44"/>
        <v>265</v>
      </c>
      <c r="G138" s="53">
        <f t="shared" si="45"/>
        <v>299750.5</v>
      </c>
      <c r="H138" s="54">
        <f t="shared" si="46"/>
        <v>2439841.85</v>
      </c>
      <c r="I138" s="55">
        <v>0.3</v>
      </c>
      <c r="J138" s="54">
        <f t="shared" si="47"/>
        <v>731952.55500000005</v>
      </c>
      <c r="K138" s="54">
        <f t="shared" si="48"/>
        <v>2007639.7949999999</v>
      </c>
      <c r="L138" s="64"/>
      <c r="M138" s="64"/>
    </row>
    <row r="139" spans="1:13" x14ac:dyDescent="0.25">
      <c r="A139" s="22">
        <v>12</v>
      </c>
      <c r="B139" t="s">
        <v>43</v>
      </c>
      <c r="C139" s="52">
        <f t="shared" si="42"/>
        <v>217648.5</v>
      </c>
      <c r="D139" s="52">
        <f t="shared" si="43"/>
        <v>361773</v>
      </c>
      <c r="E139" s="52"/>
      <c r="F139">
        <f t="shared" si="44"/>
        <v>0</v>
      </c>
      <c r="G139" s="53">
        <f t="shared" si="45"/>
        <v>180886.5</v>
      </c>
      <c r="H139" s="54">
        <f t="shared" si="46"/>
        <v>398535</v>
      </c>
      <c r="I139" s="55">
        <v>1</v>
      </c>
      <c r="J139" s="54">
        <f t="shared" si="47"/>
        <v>398535</v>
      </c>
      <c r="K139" s="54">
        <f t="shared" si="48"/>
        <v>180886.5</v>
      </c>
      <c r="L139" s="64"/>
      <c r="M139" s="64"/>
    </row>
    <row r="140" spans="1:13" x14ac:dyDescent="0.25">
      <c r="A140" s="22">
        <v>14.1</v>
      </c>
      <c r="B140" t="s">
        <v>44</v>
      </c>
      <c r="C140" s="52">
        <f t="shared" si="42"/>
        <v>679344.54</v>
      </c>
      <c r="D140" s="52">
        <f t="shared" si="43"/>
        <v>0</v>
      </c>
      <c r="E140" s="52"/>
      <c r="F140">
        <f t="shared" si="44"/>
        <v>0</v>
      </c>
      <c r="G140" s="53">
        <f t="shared" si="45"/>
        <v>0</v>
      </c>
      <c r="H140" s="54">
        <f t="shared" si="46"/>
        <v>679344.54</v>
      </c>
      <c r="I140" s="56">
        <v>7.0000000000000007E-2</v>
      </c>
      <c r="J140" s="54">
        <f t="shared" si="47"/>
        <v>47554.117800000007</v>
      </c>
      <c r="K140" s="54">
        <f t="shared" si="48"/>
        <v>631790.42220000003</v>
      </c>
      <c r="L140" s="65"/>
      <c r="M140" s="64"/>
    </row>
    <row r="141" spans="1:13" x14ac:dyDescent="0.25">
      <c r="A141" s="22">
        <v>17</v>
      </c>
      <c r="B141" t="s">
        <v>45</v>
      </c>
      <c r="C141" s="52">
        <f t="shared" si="42"/>
        <v>186129.8</v>
      </c>
      <c r="D141" s="52">
        <f t="shared" si="43"/>
        <v>0</v>
      </c>
      <c r="E141" s="52"/>
      <c r="F141">
        <f t="shared" si="44"/>
        <v>0</v>
      </c>
      <c r="G141" s="53">
        <f t="shared" si="45"/>
        <v>0</v>
      </c>
      <c r="H141" s="54">
        <f t="shared" si="46"/>
        <v>186129.8</v>
      </c>
      <c r="I141" s="55">
        <v>0.08</v>
      </c>
      <c r="J141" s="54">
        <f t="shared" si="47"/>
        <v>14890.384</v>
      </c>
      <c r="K141" s="54">
        <f t="shared" si="48"/>
        <v>171239.416</v>
      </c>
      <c r="L141" s="64"/>
      <c r="M141" s="64"/>
    </row>
    <row r="142" spans="1:13" x14ac:dyDescent="0.25">
      <c r="A142" s="22">
        <v>45</v>
      </c>
      <c r="B142" t="s">
        <v>46</v>
      </c>
      <c r="C142" s="52">
        <f t="shared" si="42"/>
        <v>142.44999999999999</v>
      </c>
      <c r="D142" s="52">
        <f t="shared" si="43"/>
        <v>0</v>
      </c>
      <c r="E142" s="52"/>
      <c r="F142">
        <f t="shared" si="44"/>
        <v>0</v>
      </c>
      <c r="G142" s="53">
        <f t="shared" si="45"/>
        <v>0</v>
      </c>
      <c r="H142" s="54">
        <f t="shared" si="46"/>
        <v>142.44999999999999</v>
      </c>
      <c r="I142" s="55">
        <v>0.45</v>
      </c>
      <c r="J142" s="54">
        <f t="shared" si="47"/>
        <v>64.102499999999992</v>
      </c>
      <c r="K142" s="54">
        <f t="shared" si="48"/>
        <v>78.347499999999997</v>
      </c>
      <c r="L142" s="64"/>
      <c r="M142" s="64"/>
    </row>
    <row r="143" spans="1:13" x14ac:dyDescent="0.25">
      <c r="A143" s="22">
        <v>47</v>
      </c>
      <c r="B143" t="s">
        <v>47</v>
      </c>
      <c r="C143" s="52">
        <f t="shared" si="42"/>
        <v>71546475.239999995</v>
      </c>
      <c r="D143" s="52">
        <f t="shared" si="43"/>
        <v>7992827</v>
      </c>
      <c r="E143" s="52"/>
      <c r="F143">
        <f t="shared" si="44"/>
        <v>0</v>
      </c>
      <c r="G143" s="53">
        <f t="shared" si="45"/>
        <v>3996413.5</v>
      </c>
      <c r="H143" s="54">
        <f t="shared" si="46"/>
        <v>75542888.739999995</v>
      </c>
      <c r="I143" s="55">
        <v>0.08</v>
      </c>
      <c r="J143" s="54">
        <f t="shared" si="47"/>
        <v>6043431.0992000001</v>
      </c>
      <c r="K143" s="54">
        <f t="shared" si="48"/>
        <v>73495871.140799999</v>
      </c>
      <c r="L143" s="64"/>
      <c r="M143" s="64"/>
    </row>
    <row r="144" spans="1:13" x14ac:dyDescent="0.25">
      <c r="A144" s="22">
        <v>50</v>
      </c>
      <c r="B144" t="s">
        <v>48</v>
      </c>
      <c r="C144" s="52">
        <f t="shared" si="42"/>
        <v>382684.82499999995</v>
      </c>
      <c r="D144" s="52">
        <f t="shared" si="43"/>
        <v>184892</v>
      </c>
      <c r="E144" s="52"/>
      <c r="F144">
        <f t="shared" si="44"/>
        <v>0</v>
      </c>
      <c r="G144" s="53">
        <f t="shared" si="45"/>
        <v>92446</v>
      </c>
      <c r="H144" s="54">
        <f t="shared" si="46"/>
        <v>475130.82499999995</v>
      </c>
      <c r="I144" s="55">
        <v>0.55000000000000004</v>
      </c>
      <c r="J144" s="54">
        <f t="shared" si="47"/>
        <v>261321.95374999999</v>
      </c>
      <c r="K144" s="54">
        <f t="shared" si="48"/>
        <v>306254.87124999997</v>
      </c>
      <c r="L144" s="64"/>
      <c r="M144" s="64"/>
    </row>
    <row r="145" spans="1:13" ht="15.75" thickBot="1" x14ac:dyDescent="0.3">
      <c r="A145" s="22"/>
      <c r="C145" s="57">
        <f>SUM(C132:C144)</f>
        <v>134799450.04499999</v>
      </c>
      <c r="D145" s="57">
        <f t="shared" ref="D145:K145" si="49">SUM(D132:D144)</f>
        <v>11484513</v>
      </c>
      <c r="E145" s="57">
        <f t="shared" si="49"/>
        <v>0</v>
      </c>
      <c r="F145" s="57">
        <f t="shared" si="49"/>
        <v>265</v>
      </c>
      <c r="G145" s="57">
        <f t="shared" si="49"/>
        <v>5742124</v>
      </c>
      <c r="H145" s="57">
        <f t="shared" si="49"/>
        <v>140541574.04499999</v>
      </c>
      <c r="I145" s="57"/>
      <c r="J145" s="66">
        <f t="shared" si="49"/>
        <v>10410893.37105</v>
      </c>
      <c r="K145" s="57">
        <f t="shared" si="49"/>
        <v>135872804.67395002</v>
      </c>
      <c r="L145" s="64"/>
      <c r="M145" s="64"/>
    </row>
    <row r="146" spans="1:13" ht="15.75" thickTop="1" x14ac:dyDescent="0.25"/>
    <row r="147" spans="1:13" x14ac:dyDescent="0.25">
      <c r="A147" s="22"/>
      <c r="B147" s="49" t="s">
        <v>60</v>
      </c>
    </row>
    <row r="148" spans="1:13" x14ac:dyDescent="0.25">
      <c r="A148" s="22"/>
      <c r="B148" s="22" t="s">
        <v>53</v>
      </c>
    </row>
    <row r="149" spans="1:13" s="22" customFormat="1" x14ac:dyDescent="0.25">
      <c r="C149" s="22">
        <v>2</v>
      </c>
      <c r="D149" s="22">
        <v>3</v>
      </c>
      <c r="E149" s="22">
        <v>4</v>
      </c>
      <c r="F149" s="22">
        <v>5</v>
      </c>
      <c r="G149" s="22">
        <v>6</v>
      </c>
      <c r="H149" s="22">
        <v>7</v>
      </c>
      <c r="I149" s="22">
        <v>8</v>
      </c>
      <c r="J149" s="22">
        <v>11</v>
      </c>
      <c r="K149" s="22">
        <v>12</v>
      </c>
      <c r="L149" s="61"/>
      <c r="M149" s="61"/>
    </row>
    <row r="150" spans="1:13" s="22" customFormat="1" x14ac:dyDescent="0.25">
      <c r="D150" s="22" t="s">
        <v>14</v>
      </c>
      <c r="E150" s="22" t="s">
        <v>54</v>
      </c>
      <c r="F150" s="22" t="s">
        <v>16</v>
      </c>
      <c r="G150" s="22" t="s">
        <v>55</v>
      </c>
      <c r="H150" s="22" t="s">
        <v>17</v>
      </c>
      <c r="I150" s="22" t="s">
        <v>19</v>
      </c>
      <c r="J150" s="22" t="s">
        <v>20</v>
      </c>
      <c r="K150" s="22" t="s">
        <v>21</v>
      </c>
      <c r="L150" s="61"/>
      <c r="M150" s="61"/>
    </row>
    <row r="151" spans="1:13" s="22" customFormat="1" x14ac:dyDescent="0.25">
      <c r="C151" s="22" t="s">
        <v>22</v>
      </c>
      <c r="D151" s="22" t="s">
        <v>23</v>
      </c>
      <c r="E151" s="22" t="s">
        <v>56</v>
      </c>
      <c r="F151" s="22" t="s">
        <v>25</v>
      </c>
      <c r="G151" s="22" t="s">
        <v>57</v>
      </c>
      <c r="H151" s="50" t="s">
        <v>58</v>
      </c>
      <c r="I151" s="22" t="s">
        <v>29</v>
      </c>
      <c r="J151" s="22" t="s">
        <v>30</v>
      </c>
      <c r="K151" s="22" t="s">
        <v>22</v>
      </c>
      <c r="L151" s="61"/>
      <c r="M151" s="61"/>
    </row>
    <row r="152" spans="1:13" s="22" customFormat="1" x14ac:dyDescent="0.25">
      <c r="A152" s="22" t="s">
        <v>31</v>
      </c>
      <c r="C152" s="51">
        <v>43830</v>
      </c>
      <c r="D152" s="22" t="s">
        <v>32</v>
      </c>
      <c r="F152" s="22" t="s">
        <v>34</v>
      </c>
      <c r="K152" s="51">
        <v>44196</v>
      </c>
      <c r="L152" s="61"/>
      <c r="M152" s="62"/>
    </row>
    <row r="153" spans="1:13" x14ac:dyDescent="0.25">
      <c r="A153" s="22"/>
      <c r="L153" s="63"/>
      <c r="M153" s="63"/>
    </row>
    <row r="154" spans="1:13" x14ac:dyDescent="0.25">
      <c r="A154" s="22">
        <v>1</v>
      </c>
      <c r="B154" t="s">
        <v>36</v>
      </c>
      <c r="C154" s="52">
        <f t="shared" ref="C154:C166" si="50">K132</f>
        <v>44854025.932800002</v>
      </c>
      <c r="D154" s="52">
        <f t="shared" ref="D154:D166" si="51">D69</f>
        <v>0</v>
      </c>
      <c r="F154">
        <f t="shared" ref="F154:F166" si="52">F70</f>
        <v>0</v>
      </c>
      <c r="G154" s="53">
        <f>(D154-F154)*0.5</f>
        <v>0</v>
      </c>
      <c r="H154" s="54">
        <f>C154+D154+E154-F154-G154</f>
        <v>44854025.932800002</v>
      </c>
      <c r="I154" s="55">
        <v>0.04</v>
      </c>
      <c r="J154" s="54">
        <f>H154*I154</f>
        <v>1794161.0373120001</v>
      </c>
      <c r="K154" s="54">
        <f>G154+H154-J154</f>
        <v>43059864.895488001</v>
      </c>
      <c r="L154" s="64"/>
      <c r="M154" s="64"/>
    </row>
    <row r="155" spans="1:13" x14ac:dyDescent="0.25">
      <c r="A155" s="22" t="s">
        <v>37</v>
      </c>
      <c r="B155" t="s">
        <v>36</v>
      </c>
      <c r="C155" s="52">
        <f t="shared" si="50"/>
        <v>2821625.5044</v>
      </c>
      <c r="D155" s="52">
        <f t="shared" si="51"/>
        <v>0</v>
      </c>
      <c r="F155">
        <f t="shared" si="52"/>
        <v>0</v>
      </c>
      <c r="G155" s="53">
        <f t="shared" ref="G155:G166" si="53">(D155-F155)*0.5</f>
        <v>0</v>
      </c>
      <c r="H155" s="54">
        <f t="shared" ref="H155:H166" si="54">C155+D155+E155-F155-G155</f>
        <v>2821625.5044</v>
      </c>
      <c r="I155" s="55">
        <v>0.06</v>
      </c>
      <c r="J155" s="54">
        <f t="shared" ref="J155:J166" si="55">H155*I155</f>
        <v>169297.530264</v>
      </c>
      <c r="K155" s="54">
        <f t="shared" ref="K155:K166" si="56">G155+H155-J155</f>
        <v>2652327.974136</v>
      </c>
      <c r="L155" s="64"/>
      <c r="M155" s="64"/>
    </row>
    <row r="156" spans="1:13" x14ac:dyDescent="0.25">
      <c r="A156" s="22" t="s">
        <v>37</v>
      </c>
      <c r="B156" t="s">
        <v>38</v>
      </c>
      <c r="C156" s="52">
        <f t="shared" si="50"/>
        <v>6615501.0872</v>
      </c>
      <c r="D156" s="52">
        <f t="shared" si="51"/>
        <v>1680090.1700000002</v>
      </c>
      <c r="E156" s="52"/>
      <c r="F156">
        <f t="shared" si="52"/>
        <v>0</v>
      </c>
      <c r="G156" s="53">
        <f t="shared" si="53"/>
        <v>840045.08500000008</v>
      </c>
      <c r="H156" s="54">
        <f t="shared" si="54"/>
        <v>7455546.1721999999</v>
      </c>
      <c r="I156" s="55">
        <v>0.06</v>
      </c>
      <c r="J156" s="54">
        <f t="shared" si="55"/>
        <v>447332.77033199999</v>
      </c>
      <c r="K156" s="54">
        <f t="shared" si="56"/>
        <v>7848258.4868679997</v>
      </c>
      <c r="L156" s="64"/>
      <c r="M156" s="64"/>
    </row>
    <row r="157" spans="1:13" x14ac:dyDescent="0.25">
      <c r="A157" s="22">
        <v>2</v>
      </c>
      <c r="B157" t="s">
        <v>39</v>
      </c>
      <c r="C157" s="52">
        <f t="shared" si="50"/>
        <v>2506497.5168000003</v>
      </c>
      <c r="D157" s="52">
        <f t="shared" si="51"/>
        <v>0</v>
      </c>
      <c r="E157" s="52"/>
      <c r="F157">
        <f t="shared" si="52"/>
        <v>0</v>
      </c>
      <c r="G157" s="53">
        <f t="shared" si="53"/>
        <v>0</v>
      </c>
      <c r="H157" s="54">
        <f t="shared" si="54"/>
        <v>2506497.5168000003</v>
      </c>
      <c r="I157" s="55">
        <v>0.06</v>
      </c>
      <c r="J157" s="54">
        <f t="shared" si="55"/>
        <v>150389.85100800003</v>
      </c>
      <c r="K157" s="54">
        <f t="shared" si="56"/>
        <v>2356107.6657920005</v>
      </c>
      <c r="L157" s="64"/>
      <c r="M157" s="64"/>
    </row>
    <row r="158" spans="1:13" x14ac:dyDescent="0.25">
      <c r="A158" s="22">
        <v>3</v>
      </c>
      <c r="B158" t="s">
        <v>40</v>
      </c>
      <c r="C158" s="52">
        <f t="shared" si="50"/>
        <v>937444.8</v>
      </c>
      <c r="D158" s="52">
        <f t="shared" si="51"/>
        <v>0</v>
      </c>
      <c r="E158" s="52"/>
      <c r="F158">
        <f t="shared" si="52"/>
        <v>0</v>
      </c>
      <c r="G158" s="53">
        <f t="shared" si="53"/>
        <v>0</v>
      </c>
      <c r="H158" s="54">
        <f t="shared" si="54"/>
        <v>937444.8</v>
      </c>
      <c r="I158" s="55">
        <v>0.05</v>
      </c>
      <c r="J158" s="54">
        <f t="shared" si="55"/>
        <v>46872.240000000005</v>
      </c>
      <c r="K158" s="54">
        <f t="shared" si="56"/>
        <v>890572.56</v>
      </c>
      <c r="L158" s="64"/>
      <c r="M158" s="64"/>
    </row>
    <row r="159" spans="1:13" x14ac:dyDescent="0.25">
      <c r="A159" s="22">
        <v>8</v>
      </c>
      <c r="B159" t="s">
        <v>41</v>
      </c>
      <c r="C159" s="52">
        <f t="shared" si="50"/>
        <v>1343949.34</v>
      </c>
      <c r="D159" s="52">
        <f t="shared" si="51"/>
        <v>274749.08</v>
      </c>
      <c r="E159" s="52"/>
      <c r="F159">
        <f t="shared" si="52"/>
        <v>0</v>
      </c>
      <c r="G159" s="53">
        <f t="shared" si="53"/>
        <v>137374.54</v>
      </c>
      <c r="H159" s="54">
        <f t="shared" si="54"/>
        <v>1481323.8800000001</v>
      </c>
      <c r="I159" s="55">
        <v>0.2</v>
      </c>
      <c r="J159" s="54">
        <f t="shared" si="55"/>
        <v>296264.77600000001</v>
      </c>
      <c r="K159" s="54">
        <f t="shared" si="56"/>
        <v>1322433.6440000001</v>
      </c>
      <c r="L159" s="64"/>
      <c r="M159" s="64"/>
    </row>
    <row r="160" spans="1:13" x14ac:dyDescent="0.25">
      <c r="A160" s="22">
        <v>10</v>
      </c>
      <c r="B160" t="s">
        <v>42</v>
      </c>
      <c r="C160" s="52">
        <f t="shared" si="50"/>
        <v>2007639.7949999999</v>
      </c>
      <c r="D160" s="52">
        <f t="shared" si="51"/>
        <v>113650</v>
      </c>
      <c r="E160" s="52"/>
      <c r="F160">
        <f t="shared" si="52"/>
        <v>0</v>
      </c>
      <c r="G160" s="53">
        <f t="shared" si="53"/>
        <v>56825</v>
      </c>
      <c r="H160" s="54">
        <f t="shared" si="54"/>
        <v>2064464.7949999999</v>
      </c>
      <c r="I160" s="55">
        <v>0.3</v>
      </c>
      <c r="J160" s="54">
        <f t="shared" si="55"/>
        <v>619339.43849999993</v>
      </c>
      <c r="K160" s="54">
        <f t="shared" si="56"/>
        <v>1501950.3565</v>
      </c>
      <c r="L160" s="64"/>
      <c r="M160" s="64"/>
    </row>
    <row r="161" spans="1:17" x14ac:dyDescent="0.25">
      <c r="A161" s="22">
        <v>12</v>
      </c>
      <c r="B161" t="s">
        <v>43</v>
      </c>
      <c r="C161" s="52">
        <f t="shared" si="50"/>
        <v>180886.5</v>
      </c>
      <c r="D161" s="52">
        <f t="shared" si="51"/>
        <v>197497.18</v>
      </c>
      <c r="E161" s="52"/>
      <c r="F161">
        <f t="shared" si="52"/>
        <v>0</v>
      </c>
      <c r="G161" s="53">
        <f t="shared" si="53"/>
        <v>98748.59</v>
      </c>
      <c r="H161" s="54">
        <f t="shared" si="54"/>
        <v>279635.08999999997</v>
      </c>
      <c r="I161" s="55">
        <v>1</v>
      </c>
      <c r="J161" s="54">
        <f t="shared" si="55"/>
        <v>279635.08999999997</v>
      </c>
      <c r="K161" s="54">
        <f t="shared" si="56"/>
        <v>98748.589999999967</v>
      </c>
      <c r="L161" s="64"/>
      <c r="M161" s="64"/>
    </row>
    <row r="162" spans="1:17" x14ac:dyDescent="0.25">
      <c r="A162" s="22">
        <v>14.1</v>
      </c>
      <c r="B162" t="s">
        <v>44</v>
      </c>
      <c r="C162" s="52">
        <f t="shared" si="50"/>
        <v>631790.42220000003</v>
      </c>
      <c r="D162" s="52">
        <f t="shared" si="51"/>
        <v>0</v>
      </c>
      <c r="E162" s="52"/>
      <c r="F162">
        <f t="shared" si="52"/>
        <v>0</v>
      </c>
      <c r="G162" s="53">
        <f t="shared" si="53"/>
        <v>0</v>
      </c>
      <c r="H162" s="54">
        <f t="shared" si="54"/>
        <v>631790.42220000003</v>
      </c>
      <c r="I162" s="56">
        <v>7.0000000000000007E-2</v>
      </c>
      <c r="J162" s="54">
        <f t="shared" si="55"/>
        <v>44225.329554000004</v>
      </c>
      <c r="K162" s="54">
        <f t="shared" si="56"/>
        <v>587565.09264599998</v>
      </c>
      <c r="L162" s="65"/>
      <c r="M162" s="64"/>
    </row>
    <row r="163" spans="1:17" x14ac:dyDescent="0.25">
      <c r="A163" s="22">
        <v>17</v>
      </c>
      <c r="B163" t="s">
        <v>45</v>
      </c>
      <c r="C163" s="52">
        <f t="shared" si="50"/>
        <v>171239.416</v>
      </c>
      <c r="D163" s="52">
        <f t="shared" si="51"/>
        <v>0</v>
      </c>
      <c r="E163" s="52"/>
      <c r="F163">
        <f t="shared" si="52"/>
        <v>0</v>
      </c>
      <c r="G163" s="53">
        <f t="shared" si="53"/>
        <v>0</v>
      </c>
      <c r="H163" s="54">
        <f t="shared" si="54"/>
        <v>171239.416</v>
      </c>
      <c r="I163" s="55">
        <v>0.08</v>
      </c>
      <c r="J163" s="54">
        <f t="shared" si="55"/>
        <v>13699.15328</v>
      </c>
      <c r="K163" s="54">
        <f t="shared" si="56"/>
        <v>157540.26272</v>
      </c>
      <c r="L163" s="64"/>
      <c r="M163" s="64"/>
    </row>
    <row r="164" spans="1:17" x14ac:dyDescent="0.25">
      <c r="A164" s="22">
        <v>45</v>
      </c>
      <c r="B164" t="s">
        <v>46</v>
      </c>
      <c r="C164" s="52">
        <f t="shared" si="50"/>
        <v>78.347499999999997</v>
      </c>
      <c r="D164" s="52">
        <f t="shared" si="51"/>
        <v>0</v>
      </c>
      <c r="E164" s="52"/>
      <c r="F164">
        <f t="shared" si="52"/>
        <v>0</v>
      </c>
      <c r="G164" s="53">
        <f t="shared" si="53"/>
        <v>0</v>
      </c>
      <c r="H164" s="54">
        <f t="shared" si="54"/>
        <v>78.347499999999997</v>
      </c>
      <c r="I164" s="55">
        <v>0.45</v>
      </c>
      <c r="J164" s="54">
        <f t="shared" si="55"/>
        <v>35.256374999999998</v>
      </c>
      <c r="K164" s="54">
        <f t="shared" si="56"/>
        <v>43.091124999999998</v>
      </c>
      <c r="L164" s="64"/>
      <c r="M164" s="64"/>
    </row>
    <row r="165" spans="1:17" x14ac:dyDescent="0.25">
      <c r="A165" s="22">
        <v>47</v>
      </c>
      <c r="B165" t="s">
        <v>47</v>
      </c>
      <c r="C165" s="52">
        <f t="shared" si="50"/>
        <v>73495871.140799999</v>
      </c>
      <c r="D165" s="52">
        <f t="shared" si="51"/>
        <v>10567855.720000001</v>
      </c>
      <c r="E165" s="52"/>
      <c r="F165">
        <f t="shared" si="52"/>
        <v>0</v>
      </c>
      <c r="G165" s="53">
        <f t="shared" si="53"/>
        <v>5283927.8600000003</v>
      </c>
      <c r="H165" s="54">
        <f t="shared" si="54"/>
        <v>78779799.000799999</v>
      </c>
      <c r="I165" s="55">
        <v>0.08</v>
      </c>
      <c r="J165" s="54">
        <f t="shared" si="55"/>
        <v>6302383.9200640004</v>
      </c>
      <c r="K165" s="54">
        <f t="shared" si="56"/>
        <v>77761342.940735996</v>
      </c>
      <c r="L165" s="64"/>
      <c r="M165" s="64"/>
    </row>
    <row r="166" spans="1:17" x14ac:dyDescent="0.25">
      <c r="A166" s="22">
        <v>50</v>
      </c>
      <c r="B166" t="s">
        <v>48</v>
      </c>
      <c r="C166" s="52">
        <f t="shared" si="50"/>
        <v>306254.87124999997</v>
      </c>
      <c r="D166" s="52">
        <f t="shared" si="51"/>
        <v>168512.85</v>
      </c>
      <c r="E166" s="52"/>
      <c r="F166">
        <f t="shared" si="52"/>
        <v>0</v>
      </c>
      <c r="G166" s="53">
        <f t="shared" si="53"/>
        <v>84256.425000000003</v>
      </c>
      <c r="H166" s="54">
        <f t="shared" si="54"/>
        <v>390511.29624999996</v>
      </c>
      <c r="I166" s="55">
        <v>0.55000000000000004</v>
      </c>
      <c r="J166" s="54">
        <f t="shared" si="55"/>
        <v>214781.21293749998</v>
      </c>
      <c r="K166" s="54">
        <f t="shared" si="56"/>
        <v>259986.50831249997</v>
      </c>
      <c r="L166" s="64"/>
      <c r="M166" s="64"/>
    </row>
    <row r="167" spans="1:17" ht="15.75" thickBot="1" x14ac:dyDescent="0.3">
      <c r="A167" s="22"/>
      <c r="C167" s="57">
        <f>SUM(C154:C166)</f>
        <v>135872804.67395002</v>
      </c>
      <c r="D167" s="57">
        <f t="shared" ref="D167:H167" si="57">SUM(D154:D166)</f>
        <v>13002355</v>
      </c>
      <c r="E167" s="57">
        <f t="shared" si="57"/>
        <v>0</v>
      </c>
      <c r="F167" s="57">
        <f t="shared" si="57"/>
        <v>0</v>
      </c>
      <c r="G167" s="57">
        <f t="shared" si="57"/>
        <v>6501177.5</v>
      </c>
      <c r="H167" s="57">
        <f t="shared" si="57"/>
        <v>142373982.17394999</v>
      </c>
      <c r="I167" s="57"/>
      <c r="J167" s="66">
        <f t="shared" ref="J167:K167" si="58">SUM(J154:J166)</f>
        <v>10378417.605626501</v>
      </c>
      <c r="K167" s="57">
        <f t="shared" si="58"/>
        <v>138496742.06832352</v>
      </c>
      <c r="L167" s="64"/>
      <c r="M167" s="64"/>
    </row>
    <row r="168" spans="1:17" ht="15.75" thickTop="1" x14ac:dyDescent="0.25">
      <c r="A168" s="22"/>
      <c r="C168" s="67"/>
      <c r="D168" s="67"/>
      <c r="E168" s="67"/>
      <c r="F168" s="67"/>
      <c r="G168" s="67"/>
      <c r="H168" s="67"/>
      <c r="I168" s="67"/>
      <c r="J168" s="68"/>
      <c r="K168" s="67"/>
      <c r="L168" s="64"/>
      <c r="M168" s="64"/>
    </row>
    <row r="170" spans="1:17" x14ac:dyDescent="0.25">
      <c r="I170" s="22"/>
    </row>
    <row r="171" spans="1:17" ht="105" x14ac:dyDescent="0.25">
      <c r="C171" s="69" t="s">
        <v>61</v>
      </c>
      <c r="D171" s="69" t="s">
        <v>62</v>
      </c>
      <c r="E171" s="69" t="s">
        <v>63</v>
      </c>
      <c r="F171" s="69" t="s">
        <v>64</v>
      </c>
      <c r="G171" s="69" t="s">
        <v>65</v>
      </c>
      <c r="H171" s="69" t="s">
        <v>66</v>
      </c>
      <c r="I171" s="69" t="s">
        <v>67</v>
      </c>
      <c r="J171" s="69" t="s">
        <v>68</v>
      </c>
      <c r="K171" s="69" t="s">
        <v>69</v>
      </c>
      <c r="L171" s="106" t="s">
        <v>70</v>
      </c>
      <c r="M171" s="69" t="s">
        <v>71</v>
      </c>
      <c r="N171" s="69" t="s">
        <v>72</v>
      </c>
      <c r="O171" s="69" t="s">
        <v>64</v>
      </c>
      <c r="P171" s="69" t="s">
        <v>73</v>
      </c>
      <c r="Q171" s="69" t="s">
        <v>74</v>
      </c>
    </row>
    <row r="172" spans="1:17" x14ac:dyDescent="0.25">
      <c r="B172" t="s">
        <v>75</v>
      </c>
      <c r="C172" s="70">
        <f>J124</f>
        <v>10397484.955000002</v>
      </c>
      <c r="D172" s="52">
        <f>L21</f>
        <v>10445587.485000001</v>
      </c>
      <c r="E172" s="71">
        <f>D172-C172</f>
        <v>48102.529999999329</v>
      </c>
      <c r="F172">
        <v>0.26500000000000001</v>
      </c>
      <c r="G172" s="54">
        <f>E172*F172</f>
        <v>12747.170449999823</v>
      </c>
      <c r="H172" s="54">
        <f>(G172/0.735-G172)+G172</f>
        <v>17343.089047618807</v>
      </c>
      <c r="I172" s="52">
        <v>19874.305445008897</v>
      </c>
      <c r="J172" s="54">
        <f>H172-I172</f>
        <v>-2531.2163973900897</v>
      </c>
      <c r="K172" s="54">
        <f>J172*0.735</f>
        <v>-1860.4440520817159</v>
      </c>
      <c r="L172" s="107">
        <f>K172/0.265</f>
        <v>-7020.5435927611916</v>
      </c>
      <c r="M172">
        <v>5</v>
      </c>
      <c r="N172" s="54">
        <f>L172/M172</f>
        <v>-1404.1087185522383</v>
      </c>
      <c r="O172">
        <v>0.26500000000000001</v>
      </c>
      <c r="P172" s="54">
        <f>N172*O172</f>
        <v>-372.08881041634316</v>
      </c>
      <c r="Q172" s="52">
        <f>(P172/0.735-P172)+P172</f>
        <v>-506.24327947801794</v>
      </c>
    </row>
    <row r="173" spans="1:17" x14ac:dyDescent="0.25">
      <c r="B173" t="s">
        <v>76</v>
      </c>
      <c r="C173" s="52">
        <f>J145</f>
        <v>10410893.37105</v>
      </c>
      <c r="D173" s="52">
        <f>L42</f>
        <v>11448593.48735</v>
      </c>
      <c r="E173" s="71">
        <f t="shared" ref="E173:E174" si="59">D173-C173</f>
        <v>1037700.1162999999</v>
      </c>
      <c r="F173">
        <v>0.26500000000000001</v>
      </c>
      <c r="G173" s="54">
        <f t="shared" ref="G173:G174" si="60">E173*F173</f>
        <v>274990.53081949998</v>
      </c>
      <c r="H173" s="54">
        <f t="shared" ref="H173:H174" si="61">(G173/0.735-G173)+G173</f>
        <v>374136.77662517002</v>
      </c>
      <c r="I173" s="54">
        <v>109157</v>
      </c>
      <c r="J173" s="54">
        <f t="shared" ref="J173:J174" si="62">H173-I173</f>
        <v>264979.77662517002</v>
      </c>
      <c r="K173" s="54">
        <f t="shared" ref="K173:K174" si="63">J173*0.735</f>
        <v>194760.13581949996</v>
      </c>
      <c r="L173" s="107">
        <f t="shared" ref="L173:L174" si="64">K173/0.265</f>
        <v>734943.90875283</v>
      </c>
      <c r="M173">
        <v>5</v>
      </c>
      <c r="N173" s="54">
        <f t="shared" ref="N173:N174" si="65">L173/M173</f>
        <v>146988.78175056601</v>
      </c>
      <c r="O173">
        <v>0.26500000000000001</v>
      </c>
      <c r="P173" s="54">
        <f t="shared" ref="P173:P174" si="66">N173*O173</f>
        <v>38952.027163899991</v>
      </c>
      <c r="Q173" s="52">
        <f t="shared" ref="Q173:Q174" si="67">(P173/0.735-P173)+P173</f>
        <v>52995.955325034003</v>
      </c>
    </row>
    <row r="174" spans="1:17" x14ac:dyDescent="0.25">
      <c r="B174" t="s">
        <v>77</v>
      </c>
      <c r="C174" s="52">
        <f>J167</f>
        <v>10378417.605626501</v>
      </c>
      <c r="D174" s="52">
        <f>L82</f>
        <v>11153814.822525499</v>
      </c>
      <c r="E174" s="72">
        <f t="shared" si="59"/>
        <v>775397.21689899825</v>
      </c>
      <c r="F174" s="73">
        <v>0.26500000000000001</v>
      </c>
      <c r="G174" s="74">
        <f t="shared" si="60"/>
        <v>205480.26247823454</v>
      </c>
      <c r="H174" s="74">
        <f t="shared" si="61"/>
        <v>279564.98296358442</v>
      </c>
      <c r="I174" s="74">
        <v>109157</v>
      </c>
      <c r="J174" s="64">
        <f t="shared" si="62"/>
        <v>170407.98296358442</v>
      </c>
      <c r="K174" s="64">
        <f t="shared" si="63"/>
        <v>125249.86747823455</v>
      </c>
      <c r="L174" s="108">
        <f t="shared" si="64"/>
        <v>472641.00935182848</v>
      </c>
      <c r="M174">
        <v>5</v>
      </c>
      <c r="N174" s="54">
        <f t="shared" si="65"/>
        <v>94528.201870365694</v>
      </c>
      <c r="O174">
        <v>0.26500000000000001</v>
      </c>
      <c r="P174" s="54">
        <f t="shared" si="66"/>
        <v>25049.973495646911</v>
      </c>
      <c r="Q174" s="52">
        <f t="shared" si="67"/>
        <v>34081.596592716887</v>
      </c>
    </row>
    <row r="175" spans="1:17" ht="15.75" thickBot="1" x14ac:dyDescent="0.3">
      <c r="B175" t="s">
        <v>78</v>
      </c>
      <c r="C175" s="57">
        <f>SUM(C172:C174)</f>
        <v>31186795.931676503</v>
      </c>
      <c r="D175" s="57">
        <f t="shared" ref="D175:E175" si="68">SUM(D172:D174)</f>
        <v>33047995.794875503</v>
      </c>
      <c r="E175" s="57">
        <f t="shared" si="68"/>
        <v>1861199.8631989975</v>
      </c>
      <c r="F175" s="54"/>
      <c r="G175" s="60">
        <f>SUM(G172:G174)</f>
        <v>493217.96374773432</v>
      </c>
      <c r="H175" s="75">
        <f t="shared" ref="H175:J175" si="69">SUM(H172:H174)</f>
        <v>671044.84863637318</v>
      </c>
      <c r="I175" s="60">
        <f t="shared" si="69"/>
        <v>238188.30544500891</v>
      </c>
      <c r="J175" s="75">
        <f t="shared" si="69"/>
        <v>432856.54319136433</v>
      </c>
      <c r="K175" s="60">
        <f>SUM(K172:K174)</f>
        <v>318149.55924565275</v>
      </c>
      <c r="L175" s="105">
        <f>SUM(L172:L174)</f>
        <v>1200564.3745118973</v>
      </c>
      <c r="M175" s="58"/>
      <c r="N175" s="60">
        <f>SUM(N172:N174)</f>
        <v>240112.87490237947</v>
      </c>
      <c r="P175" s="60">
        <f>SUM(P172:P174)</f>
        <v>63629.911849130556</v>
      </c>
      <c r="Q175" s="59">
        <f>SUM(Q172:Q174)</f>
        <v>86571.308638272865</v>
      </c>
    </row>
    <row r="176" spans="1:17" ht="15.75" thickTop="1" x14ac:dyDescent="0.25">
      <c r="C176" s="67"/>
      <c r="D176" s="67"/>
      <c r="E176" s="67"/>
      <c r="F176" s="54"/>
      <c r="G176" s="54"/>
      <c r="H176" s="54"/>
      <c r="I176" s="54"/>
      <c r="J176" s="54"/>
      <c r="K176" s="76"/>
      <c r="L176" s="76"/>
    </row>
    <row r="177" spans="2:12" x14ac:dyDescent="0.25">
      <c r="C177" s="67"/>
      <c r="D177" s="67"/>
      <c r="E177" s="67"/>
      <c r="F177" s="54"/>
      <c r="G177" s="54"/>
      <c r="H177" s="54"/>
      <c r="I177" s="54"/>
      <c r="J177" s="54"/>
      <c r="K177" s="76"/>
      <c r="L177" s="76"/>
    </row>
    <row r="178" spans="2:12" ht="30" x14ac:dyDescent="0.25">
      <c r="B178" s="95" t="s">
        <v>79</v>
      </c>
      <c r="C178" s="96">
        <v>481089</v>
      </c>
      <c r="D178" s="67"/>
      <c r="E178" s="67"/>
      <c r="F178" s="54"/>
      <c r="G178" s="54"/>
      <c r="H178" s="54"/>
      <c r="I178" s="54"/>
      <c r="J178" s="54"/>
      <c r="K178" s="76"/>
      <c r="L178" s="76"/>
    </row>
    <row r="179" spans="2:12" ht="30" x14ac:dyDescent="0.25">
      <c r="B179" s="97" t="s">
        <v>80</v>
      </c>
      <c r="C179" s="98">
        <f>-Q175</f>
        <v>-86571.308638272865</v>
      </c>
      <c r="D179" s="67"/>
      <c r="E179" s="67"/>
      <c r="F179" s="54"/>
      <c r="G179" s="54"/>
      <c r="H179" s="54"/>
      <c r="I179" s="54"/>
      <c r="J179" s="54"/>
      <c r="K179" s="76"/>
      <c r="L179" s="76"/>
    </row>
    <row r="180" spans="2:12" x14ac:dyDescent="0.25">
      <c r="B180" s="99" t="s">
        <v>81</v>
      </c>
      <c r="C180" s="100">
        <f>SUM(C178:C179)</f>
        <v>394517.69136172713</v>
      </c>
      <c r="D180" s="67"/>
      <c r="E180" s="67"/>
      <c r="F180" s="54"/>
      <c r="G180" s="54"/>
      <c r="H180" s="54"/>
      <c r="I180" s="54"/>
      <c r="J180" s="54"/>
      <c r="K180" s="76"/>
      <c r="L180" s="76"/>
    </row>
    <row r="181" spans="2:12" x14ac:dyDescent="0.25">
      <c r="C181" s="67"/>
      <c r="D181" s="67"/>
      <c r="E181" s="67"/>
      <c r="F181" s="54"/>
      <c r="G181" s="54"/>
      <c r="H181" s="54"/>
      <c r="I181" s="54"/>
      <c r="J181" s="54"/>
      <c r="K181" s="76"/>
      <c r="L181" s="76"/>
    </row>
  </sheetData>
  <pageMargins left="0.4" right="0.2" top="0.45" bottom="0.44" header="0.3" footer="0.3"/>
  <pageSetup paperSize="5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23" sqref="B23"/>
    </sheetView>
  </sheetViews>
  <sheetFormatPr defaultRowHeight="15" x14ac:dyDescent="0.25"/>
  <cols>
    <col min="1" max="1" width="40.5703125" customWidth="1"/>
    <col min="2" max="2" width="11.85546875" bestFit="1" customWidth="1"/>
    <col min="3" max="4" width="12.28515625" bestFit="1" customWidth="1"/>
    <col min="5" max="5" width="11.5703125" bestFit="1" customWidth="1"/>
  </cols>
  <sheetData>
    <row r="1" spans="1:5" x14ac:dyDescent="0.25">
      <c r="A1" t="s">
        <v>100</v>
      </c>
    </row>
    <row r="3" spans="1:5" ht="75" x14ac:dyDescent="0.25">
      <c r="A3" s="1"/>
      <c r="B3" s="2" t="s">
        <v>0</v>
      </c>
      <c r="C3" s="3" t="s">
        <v>1</v>
      </c>
      <c r="D3" s="3" t="s">
        <v>2</v>
      </c>
      <c r="E3" s="86" t="s">
        <v>3</v>
      </c>
    </row>
    <row r="4" spans="1:5" ht="30" x14ac:dyDescent="0.25">
      <c r="A4" s="5" t="s">
        <v>86</v>
      </c>
      <c r="B4" s="7">
        <v>9700584</v>
      </c>
      <c r="C4" s="7">
        <v>9700584</v>
      </c>
      <c r="D4" s="7">
        <v>9700584</v>
      </c>
      <c r="E4" s="8">
        <f>SUM(B4:D4)</f>
        <v>29101752</v>
      </c>
    </row>
    <row r="5" spans="1:5" ht="30" x14ac:dyDescent="0.25">
      <c r="A5" s="5" t="s">
        <v>87</v>
      </c>
      <c r="B5" s="7">
        <v>11027393</v>
      </c>
      <c r="C5" s="7">
        <v>11027393</v>
      </c>
      <c r="D5" s="7">
        <v>11027393</v>
      </c>
      <c r="E5" s="8">
        <f>SUM(B5:D5)</f>
        <v>33082179</v>
      </c>
    </row>
    <row r="6" spans="1:5" x14ac:dyDescent="0.25">
      <c r="A6" s="5" t="s">
        <v>6</v>
      </c>
      <c r="B6" s="7">
        <f>B4-B5</f>
        <v>-1326809</v>
      </c>
      <c r="C6" s="7">
        <f>C4-C5</f>
        <v>-1326809</v>
      </c>
      <c r="D6" s="7">
        <f>D4-D5</f>
        <v>-1326809</v>
      </c>
      <c r="E6" s="7">
        <f>E4-E5</f>
        <v>-3980427</v>
      </c>
    </row>
    <row r="7" spans="1:5" x14ac:dyDescent="0.25">
      <c r="A7" s="5"/>
      <c r="B7" s="11">
        <v>0.26500000000000001</v>
      </c>
      <c r="C7" s="11">
        <v>0.26500000000000001</v>
      </c>
      <c r="D7" s="11">
        <v>0.26500000000000001</v>
      </c>
      <c r="E7" s="11">
        <v>0.26500000000000001</v>
      </c>
    </row>
    <row r="8" spans="1:5" ht="30" x14ac:dyDescent="0.25">
      <c r="A8" s="5" t="s">
        <v>8</v>
      </c>
      <c r="B8" s="13">
        <f>B6*B7</f>
        <v>-351604.38500000001</v>
      </c>
      <c r="C8" s="13">
        <f>C6*C7</f>
        <v>-351604.38500000001</v>
      </c>
      <c r="D8" s="13">
        <f>D6*D7</f>
        <v>-351604.38500000001</v>
      </c>
      <c r="E8" s="13">
        <f>E6*E7</f>
        <v>-1054813.155</v>
      </c>
    </row>
    <row r="9" spans="1:5" ht="30" x14ac:dyDescent="0.25">
      <c r="A9" s="5" t="s">
        <v>9</v>
      </c>
      <c r="B9" s="7">
        <f>B8/(1-B7)</f>
        <v>-478373.31292517012</v>
      </c>
      <c r="C9" s="7">
        <f>C8/(1-C7)</f>
        <v>-478373.31292517012</v>
      </c>
      <c r="D9" s="7">
        <f>D8/(1-D7)</f>
        <v>-478373.31292517012</v>
      </c>
      <c r="E9" s="7">
        <f>E8/(1-E7)</f>
        <v>-1435119.9387755103</v>
      </c>
    </row>
    <row r="10" spans="1:5" x14ac:dyDescent="0.25">
      <c r="A10" s="5" t="s">
        <v>10</v>
      </c>
      <c r="B10" s="87">
        <v>0.10680000000000001</v>
      </c>
      <c r="C10" s="88">
        <v>1</v>
      </c>
      <c r="D10" s="88">
        <v>1</v>
      </c>
      <c r="E10" s="21"/>
    </row>
    <row r="11" spans="1:5" x14ac:dyDescent="0.25">
      <c r="A11" s="5" t="s">
        <v>88</v>
      </c>
      <c r="B11" s="7">
        <f>B9*B10</f>
        <v>-51090.269820408168</v>
      </c>
      <c r="C11" s="7">
        <f t="shared" ref="C11:D11" si="0">C9*C10</f>
        <v>-478373.31292517012</v>
      </c>
      <c r="D11" s="7">
        <f t="shared" si="0"/>
        <v>-478373.31292517012</v>
      </c>
      <c r="E11" s="8">
        <f>SUM(B11:D11)</f>
        <v>-1007836.8956707483</v>
      </c>
    </row>
    <row r="12" spans="1:5" x14ac:dyDescent="0.25">
      <c r="A12" s="5" t="s">
        <v>89</v>
      </c>
      <c r="B12" s="7">
        <v>-19874.305445008897</v>
      </c>
      <c r="C12" s="7">
        <v>-109157</v>
      </c>
      <c r="D12" s="7">
        <v>-109157</v>
      </c>
      <c r="E12" s="8">
        <f>SUM(B12:D12)</f>
        <v>-238188.30544500891</v>
      </c>
    </row>
    <row r="13" spans="1:5" x14ac:dyDescent="0.25">
      <c r="A13" s="5" t="s">
        <v>11</v>
      </c>
      <c r="B13" s="13">
        <f>B11-B12</f>
        <v>-31215.964375399271</v>
      </c>
      <c r="C13" s="13">
        <f t="shared" ref="C13:D13" si="1">C11-C12</f>
        <v>-369216.31292517012</v>
      </c>
      <c r="D13" s="13">
        <f t="shared" si="1"/>
        <v>-369216.31292517012</v>
      </c>
      <c r="E13" s="8">
        <f>SUM(B13:D13)</f>
        <v>-769648.59022573952</v>
      </c>
    </row>
    <row r="16" spans="1:5" ht="30" x14ac:dyDescent="0.25">
      <c r="A16" s="77" t="s">
        <v>101</v>
      </c>
    </row>
    <row r="17" spans="1:5" ht="75" x14ac:dyDescent="0.25">
      <c r="A17" s="1"/>
      <c r="B17" s="2" t="s">
        <v>0</v>
      </c>
      <c r="C17" s="3" t="s">
        <v>1</v>
      </c>
      <c r="D17" s="3" t="s">
        <v>2</v>
      </c>
      <c r="E17" s="86" t="s">
        <v>3</v>
      </c>
    </row>
    <row r="18" spans="1:5" ht="30" x14ac:dyDescent="0.25">
      <c r="A18" s="5" t="s">
        <v>86</v>
      </c>
      <c r="B18" s="7">
        <v>9700584</v>
      </c>
      <c r="C18" s="7">
        <v>9700584</v>
      </c>
      <c r="D18" s="7">
        <v>9700584</v>
      </c>
      <c r="E18" s="8">
        <f>SUM(B18:D18)</f>
        <v>29101752</v>
      </c>
    </row>
    <row r="19" spans="1:5" ht="30" x14ac:dyDescent="0.25">
      <c r="A19" s="5" t="s">
        <v>87</v>
      </c>
      <c r="B19" s="7">
        <v>9755707</v>
      </c>
      <c r="C19" s="7">
        <v>11027393</v>
      </c>
      <c r="D19" s="7">
        <v>11027393</v>
      </c>
      <c r="E19" s="8">
        <f>SUM(B19:D19)</f>
        <v>31810493</v>
      </c>
    </row>
    <row r="20" spans="1:5" x14ac:dyDescent="0.25">
      <c r="A20" s="5" t="s">
        <v>6</v>
      </c>
      <c r="B20" s="7">
        <f>B18-B19</f>
        <v>-55123</v>
      </c>
      <c r="C20" s="7">
        <f>C18-C19</f>
        <v>-1326809</v>
      </c>
      <c r="D20" s="7">
        <f>D18-D19</f>
        <v>-1326809</v>
      </c>
      <c r="E20" s="7">
        <f>E18-E19</f>
        <v>-2708741</v>
      </c>
    </row>
    <row r="21" spans="1:5" x14ac:dyDescent="0.25">
      <c r="A21" s="5"/>
      <c r="B21" s="11">
        <v>0.26500000000000001</v>
      </c>
      <c r="C21" s="11">
        <v>0.26500000000000001</v>
      </c>
      <c r="D21" s="11">
        <v>0.26500000000000001</v>
      </c>
      <c r="E21" s="11">
        <v>0.26500000000000001</v>
      </c>
    </row>
    <row r="22" spans="1:5" ht="30" x14ac:dyDescent="0.25">
      <c r="A22" s="5" t="s">
        <v>8</v>
      </c>
      <c r="B22" s="13">
        <f>B20*B21</f>
        <v>-14607.595000000001</v>
      </c>
      <c r="C22" s="13">
        <f>C20*C21</f>
        <v>-351604.38500000001</v>
      </c>
      <c r="D22" s="13">
        <f>D20*D21</f>
        <v>-351604.38500000001</v>
      </c>
      <c r="E22" s="13">
        <f>E20*E21</f>
        <v>-717816.36499999999</v>
      </c>
    </row>
    <row r="23" spans="1:5" ht="30" x14ac:dyDescent="0.25">
      <c r="A23" s="5" t="s">
        <v>9</v>
      </c>
      <c r="B23" s="7">
        <f>B22/(1-B21)</f>
        <v>-19874.278911564626</v>
      </c>
      <c r="C23" s="7">
        <f>C22/(1-C21)</f>
        <v>-478373.31292517012</v>
      </c>
      <c r="D23" s="7">
        <f>D22/(1-D21)</f>
        <v>-478373.31292517012</v>
      </c>
      <c r="E23" s="7">
        <f>E22/(1-E21)</f>
        <v>-976620.90476190473</v>
      </c>
    </row>
    <row r="24" spans="1:5" x14ac:dyDescent="0.25">
      <c r="A24" s="5" t="s">
        <v>10</v>
      </c>
      <c r="B24" s="87"/>
      <c r="C24" s="88">
        <v>1</v>
      </c>
      <c r="D24" s="88">
        <v>1</v>
      </c>
      <c r="E24" s="21"/>
    </row>
    <row r="25" spans="1:5" x14ac:dyDescent="0.25">
      <c r="A25" s="5" t="s">
        <v>88</v>
      </c>
      <c r="B25" s="7">
        <v>-19874</v>
      </c>
      <c r="C25" s="7">
        <f t="shared" ref="C25:D25" si="2">C23*C24</f>
        <v>-478373.31292517012</v>
      </c>
      <c r="D25" s="7">
        <f t="shared" si="2"/>
        <v>-478373.31292517012</v>
      </c>
      <c r="E25" s="8">
        <f>SUM(B25:D25)</f>
        <v>-976620.62585034024</v>
      </c>
    </row>
    <row r="26" spans="1:5" x14ac:dyDescent="0.25">
      <c r="A26" s="5" t="s">
        <v>89</v>
      </c>
      <c r="B26" s="7">
        <v>-19874.305445008897</v>
      </c>
      <c r="C26" s="7">
        <v>-109157</v>
      </c>
      <c r="D26" s="7">
        <v>-109157</v>
      </c>
      <c r="E26" s="8">
        <f>SUM(B26:D26)</f>
        <v>-238188.30544500891</v>
      </c>
    </row>
    <row r="27" spans="1:5" x14ac:dyDescent="0.25">
      <c r="A27" s="5" t="s">
        <v>11</v>
      </c>
      <c r="B27" s="13">
        <f>B25-B26</f>
        <v>0.3054450088966405</v>
      </c>
      <c r="C27" s="13">
        <f t="shared" ref="C27:D27" si="3">C25-C26</f>
        <v>-369216.31292517012</v>
      </c>
      <c r="D27" s="13">
        <f t="shared" si="3"/>
        <v>-369216.31292517012</v>
      </c>
      <c r="E27" s="8">
        <f>SUM(B27:D27)</f>
        <v>-738432.32040533132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PILS Settlement</vt:lpstr>
      <vt:lpstr>Before Settlement</vt:lpstr>
    </vt:vector>
  </TitlesOfParts>
  <Company>Niagara Peninsula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NPEI</dc:creator>
  <cp:lastModifiedBy>NPEI</cp:lastModifiedBy>
  <cp:lastPrinted>2020-12-21T17:12:51Z</cp:lastPrinted>
  <dcterms:created xsi:type="dcterms:W3CDTF">2020-12-17T15:41:17Z</dcterms:created>
  <dcterms:modified xsi:type="dcterms:W3CDTF">2021-01-04T16:26:18Z</dcterms:modified>
</cp:coreProperties>
</file>