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F:\Accounting\Terry Debbie (FINANCE MGT)\1 regulatory affairs\2 Rate Applications\2019 ICM Smartgrid Application\Interrogatories\Update Models\OEB Staff 37 - Bill Impacts\"/>
    </mc:Choice>
  </mc:AlternateContent>
  <xr:revisionPtr revIDLastSave="0" documentId="13_ncr:1_{B213C015-EF29-4E84-B22B-C63AD0ACAB0B}" xr6:coauthVersionLast="46" xr6:coauthVersionMax="46" xr10:uidLastSave="{00000000-0000-0000-0000-000000000000}"/>
  <bookViews>
    <workbookView xWindow="-108" yWindow="-108" windowWidth="23256" windowHeight="14016" activeTab="4" xr2:uid="{00000000-000D-0000-FFFF-FFFF00000000}"/>
  </bookViews>
  <sheets>
    <sheet name="Rates" sheetId="8" r:id="rId1"/>
    <sheet name="Residential" sheetId="1" r:id="rId2"/>
    <sheet name="GS&lt;50" sheetId="2" r:id="rId3"/>
    <sheet name="GS&gt;50" sheetId="3" r:id="rId4"/>
    <sheet name="Summary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7" i="2" l="1"/>
  <c r="F146" i="3"/>
  <c r="F99" i="3"/>
  <c r="F52" i="3"/>
  <c r="C12" i="3"/>
  <c r="C11" i="3"/>
  <c r="C12" i="2"/>
  <c r="C11" i="2"/>
  <c r="F99" i="2"/>
  <c r="T64" i="1"/>
  <c r="R64" i="1"/>
  <c r="R16" i="1"/>
  <c r="T16" i="1" s="1"/>
  <c r="C11" i="1" l="1"/>
  <c r="F3" i="3"/>
  <c r="F144" i="3" s="1"/>
  <c r="F3" i="2"/>
  <c r="F50" i="3" l="1"/>
  <c r="F97" i="3"/>
  <c r="G221" i="3" l="1"/>
  <c r="H221" i="3" s="1"/>
  <c r="D218" i="3"/>
  <c r="E218" i="3" s="1"/>
  <c r="D217" i="3"/>
  <c r="E217" i="3" s="1"/>
  <c r="D227" i="3"/>
  <c r="D212" i="3"/>
  <c r="E212" i="3" s="1"/>
  <c r="D210" i="3"/>
  <c r="D209" i="3"/>
  <c r="D206" i="3"/>
  <c r="E206" i="3" s="1"/>
  <c r="D205" i="3"/>
  <c r="E205" i="3" s="1"/>
  <c r="D202" i="3"/>
  <c r="E202" i="3" s="1"/>
  <c r="D201" i="3"/>
  <c r="E201" i="3" s="1"/>
  <c r="D200" i="3"/>
  <c r="C225" i="3"/>
  <c r="E225" i="3" s="1"/>
  <c r="C226" i="3"/>
  <c r="C227" i="3"/>
  <c r="C228" i="3"/>
  <c r="C224" i="3"/>
  <c r="F224" i="3" s="1"/>
  <c r="H224" i="3" s="1"/>
  <c r="I224" i="3" s="1"/>
  <c r="J224" i="3" s="1"/>
  <c r="C200" i="3"/>
  <c r="C199" i="3"/>
  <c r="E199" i="3" s="1"/>
  <c r="F228" i="3"/>
  <c r="D228" i="3"/>
  <c r="E228" i="3" s="1"/>
  <c r="E226" i="3"/>
  <c r="F225" i="3"/>
  <c r="H225" i="3" s="1"/>
  <c r="E224" i="3"/>
  <c r="H223" i="3"/>
  <c r="I223" i="3" s="1"/>
  <c r="J223" i="3" s="1"/>
  <c r="E223" i="3"/>
  <c r="I222" i="3"/>
  <c r="J222" i="3" s="1"/>
  <c r="H222" i="3"/>
  <c r="E222" i="3"/>
  <c r="D221" i="3"/>
  <c r="E221" i="3" s="1"/>
  <c r="D220" i="3"/>
  <c r="E220" i="3" s="1"/>
  <c r="F217" i="3"/>
  <c r="F215" i="3"/>
  <c r="D215" i="3"/>
  <c r="E215" i="3" s="1"/>
  <c r="H214" i="3"/>
  <c r="I214" i="3" s="1"/>
  <c r="J214" i="3" s="1"/>
  <c r="E214" i="3"/>
  <c r="I213" i="3"/>
  <c r="J213" i="3" s="1"/>
  <c r="H213" i="3"/>
  <c r="E213" i="3"/>
  <c r="I211" i="3"/>
  <c r="J211" i="3" s="1"/>
  <c r="F211" i="3"/>
  <c r="D211" i="3"/>
  <c r="E210" i="3"/>
  <c r="I209" i="3"/>
  <c r="J209" i="3" s="1"/>
  <c r="F209" i="3"/>
  <c r="G208" i="3"/>
  <c r="H208" i="3" s="1"/>
  <c r="D208" i="3"/>
  <c r="E208" i="3" s="1"/>
  <c r="F206" i="3"/>
  <c r="E204" i="3"/>
  <c r="H203" i="3"/>
  <c r="I203" i="3" s="1"/>
  <c r="J203" i="3" s="1"/>
  <c r="F203" i="3"/>
  <c r="E203" i="3"/>
  <c r="F193" i="3"/>
  <c r="I192" i="3"/>
  <c r="G215" i="3" s="1"/>
  <c r="I191" i="3"/>
  <c r="G206" i="3" s="1"/>
  <c r="C178" i="3"/>
  <c r="C179" i="3"/>
  <c r="C180" i="3"/>
  <c r="C181" i="3"/>
  <c r="C177" i="3"/>
  <c r="D171" i="3"/>
  <c r="D170" i="3"/>
  <c r="D165" i="3"/>
  <c r="D163" i="3"/>
  <c r="D162" i="3"/>
  <c r="C153" i="3"/>
  <c r="C152" i="3"/>
  <c r="D159" i="3"/>
  <c r="D158" i="3"/>
  <c r="D155" i="3"/>
  <c r="D154" i="3"/>
  <c r="D153" i="3"/>
  <c r="C84" i="3"/>
  <c r="C85" i="3"/>
  <c r="C86" i="3"/>
  <c r="C87" i="3"/>
  <c r="C83" i="3"/>
  <c r="C106" i="3"/>
  <c r="C105" i="3"/>
  <c r="C131" i="3"/>
  <c r="C132" i="3"/>
  <c r="C133" i="3"/>
  <c r="C134" i="3"/>
  <c r="C130" i="3"/>
  <c r="D133" i="3"/>
  <c r="D124" i="3"/>
  <c r="D123" i="3"/>
  <c r="D118" i="3"/>
  <c r="D116" i="3"/>
  <c r="D115" i="3"/>
  <c r="D112" i="3"/>
  <c r="D111" i="3"/>
  <c r="D108" i="3"/>
  <c r="D107" i="3"/>
  <c r="D106" i="3"/>
  <c r="C59" i="3"/>
  <c r="C58" i="3"/>
  <c r="E200" i="3" l="1"/>
  <c r="H206" i="3"/>
  <c r="G209" i="3"/>
  <c r="G212" i="3"/>
  <c r="H212" i="3" s="1"/>
  <c r="I212" i="3" s="1"/>
  <c r="J212" i="3" s="1"/>
  <c r="G200" i="3"/>
  <c r="G217" i="3"/>
  <c r="G210" i="3"/>
  <c r="H210" i="3" s="1"/>
  <c r="G201" i="3"/>
  <c r="H201" i="3" s="1"/>
  <c r="I201" i="3" s="1"/>
  <c r="J201" i="3" s="1"/>
  <c r="G218" i="3"/>
  <c r="H218" i="3" s="1"/>
  <c r="G202" i="3"/>
  <c r="H202" i="3" s="1"/>
  <c r="I202" i="3" s="1"/>
  <c r="J202" i="3" s="1"/>
  <c r="G220" i="3"/>
  <c r="H220" i="3" s="1"/>
  <c r="I220" i="3" s="1"/>
  <c r="J220" i="3" s="1"/>
  <c r="G205" i="3"/>
  <c r="G228" i="3"/>
  <c r="H228" i="3"/>
  <c r="I228" i="3" s="1"/>
  <c r="H217" i="3"/>
  <c r="E227" i="3"/>
  <c r="I210" i="3"/>
  <c r="J210" i="3" s="1"/>
  <c r="I206" i="3"/>
  <c r="J206" i="3" s="1"/>
  <c r="E207" i="3"/>
  <c r="E216" i="3" s="1"/>
  <c r="I208" i="3"/>
  <c r="J208" i="3" s="1"/>
  <c r="H215" i="3"/>
  <c r="I215" i="3" s="1"/>
  <c r="J215" i="3" s="1"/>
  <c r="I221" i="3"/>
  <c r="J221" i="3" s="1"/>
  <c r="I217" i="3"/>
  <c r="J217" i="3" s="1"/>
  <c r="I225" i="3"/>
  <c r="J225" i="3" s="1"/>
  <c r="I218" i="3"/>
  <c r="J218" i="3" s="1"/>
  <c r="F226" i="3"/>
  <c r="H226" i="3" s="1"/>
  <c r="I226" i="3" s="1"/>
  <c r="J226" i="3" s="1"/>
  <c r="G211" i="3"/>
  <c r="J228" i="3" l="1"/>
  <c r="E219" i="3"/>
  <c r="E230" i="3" l="1"/>
  <c r="E231" i="3" l="1"/>
  <c r="E233" i="3" s="1"/>
  <c r="D77" i="3" l="1"/>
  <c r="E77" i="3" s="1"/>
  <c r="D76" i="3"/>
  <c r="E76" i="3" s="1"/>
  <c r="D71" i="3"/>
  <c r="E71" i="3" s="1"/>
  <c r="D69" i="3"/>
  <c r="D68" i="3"/>
  <c r="D65" i="3"/>
  <c r="E65" i="3" s="1"/>
  <c r="D64" i="3"/>
  <c r="E64" i="3" s="1"/>
  <c r="D61" i="3"/>
  <c r="E61" i="3" s="1"/>
  <c r="D60" i="3"/>
  <c r="E60" i="3" s="1"/>
  <c r="D59" i="3"/>
  <c r="E59" i="3" s="1"/>
  <c r="F181" i="3"/>
  <c r="D181" i="3"/>
  <c r="E181" i="3" s="1"/>
  <c r="D180" i="3"/>
  <c r="E180" i="3" s="1"/>
  <c r="E179" i="3"/>
  <c r="F178" i="3"/>
  <c r="H178" i="3" s="1"/>
  <c r="E178" i="3"/>
  <c r="E177" i="3"/>
  <c r="H176" i="3"/>
  <c r="E176" i="3"/>
  <c r="H175" i="3"/>
  <c r="I175" i="3" s="1"/>
  <c r="J175" i="3" s="1"/>
  <c r="E175" i="3"/>
  <c r="D174" i="3"/>
  <c r="E174" i="3" s="1"/>
  <c r="D173" i="3"/>
  <c r="E173" i="3" s="1"/>
  <c r="E171" i="3"/>
  <c r="F170" i="3"/>
  <c r="E170" i="3"/>
  <c r="F168" i="3"/>
  <c r="D168" i="3"/>
  <c r="E168" i="3" s="1"/>
  <c r="H167" i="3"/>
  <c r="I167" i="3" s="1"/>
  <c r="J167" i="3" s="1"/>
  <c r="E167" i="3"/>
  <c r="H166" i="3"/>
  <c r="I166" i="3" s="1"/>
  <c r="J166" i="3" s="1"/>
  <c r="E166" i="3"/>
  <c r="E165" i="3"/>
  <c r="I164" i="3"/>
  <c r="J164" i="3" s="1"/>
  <c r="F164" i="3"/>
  <c r="D164" i="3"/>
  <c r="E163" i="3"/>
  <c r="I162" i="3"/>
  <c r="J162" i="3" s="1"/>
  <c r="F162" i="3"/>
  <c r="G161" i="3"/>
  <c r="H161" i="3" s="1"/>
  <c r="D161" i="3"/>
  <c r="E161" i="3" s="1"/>
  <c r="F159" i="3"/>
  <c r="E159" i="3"/>
  <c r="E158" i="3"/>
  <c r="E157" i="3"/>
  <c r="F156" i="3"/>
  <c r="H156" i="3" s="1"/>
  <c r="I156" i="3" s="1"/>
  <c r="J156" i="3" s="1"/>
  <c r="E156" i="3"/>
  <c r="E155" i="3"/>
  <c r="E154" i="3"/>
  <c r="E153" i="3"/>
  <c r="E152" i="3"/>
  <c r="I145" i="3"/>
  <c r="I144" i="3"/>
  <c r="F134" i="3"/>
  <c r="D134" i="3"/>
  <c r="E134" i="3" s="1"/>
  <c r="E133" i="3"/>
  <c r="F132" i="3"/>
  <c r="H132" i="3" s="1"/>
  <c r="F131" i="3"/>
  <c r="H131" i="3" s="1"/>
  <c r="F130" i="3"/>
  <c r="H130" i="3" s="1"/>
  <c r="H129" i="3"/>
  <c r="E129" i="3"/>
  <c r="I129" i="3" s="1"/>
  <c r="J129" i="3" s="1"/>
  <c r="H128" i="3"/>
  <c r="I128" i="3" s="1"/>
  <c r="J128" i="3" s="1"/>
  <c r="E128" i="3"/>
  <c r="D127" i="3"/>
  <c r="E127" i="3" s="1"/>
  <c r="D126" i="3"/>
  <c r="E126" i="3" s="1"/>
  <c r="E124" i="3"/>
  <c r="F123" i="3"/>
  <c r="E123" i="3"/>
  <c r="F121" i="3"/>
  <c r="D121" i="3"/>
  <c r="E121" i="3" s="1"/>
  <c r="H120" i="3"/>
  <c r="E120" i="3"/>
  <c r="I120" i="3" s="1"/>
  <c r="J120" i="3" s="1"/>
  <c r="H119" i="3"/>
  <c r="I119" i="3" s="1"/>
  <c r="J119" i="3" s="1"/>
  <c r="E119" i="3"/>
  <c r="E118" i="3"/>
  <c r="I117" i="3"/>
  <c r="J117" i="3" s="1"/>
  <c r="F117" i="3"/>
  <c r="D117" i="3"/>
  <c r="E116" i="3"/>
  <c r="J115" i="3"/>
  <c r="I115" i="3"/>
  <c r="F115" i="3"/>
  <c r="G114" i="3"/>
  <c r="H114" i="3" s="1"/>
  <c r="D114" i="3"/>
  <c r="E114" i="3" s="1"/>
  <c r="F112" i="3"/>
  <c r="E112" i="3"/>
  <c r="E111" i="3"/>
  <c r="E110" i="3"/>
  <c r="F109" i="3"/>
  <c r="H109" i="3" s="1"/>
  <c r="I109" i="3" s="1"/>
  <c r="J109" i="3" s="1"/>
  <c r="E109" i="3"/>
  <c r="E108" i="3"/>
  <c r="E107" i="3"/>
  <c r="E106" i="3"/>
  <c r="E105" i="3"/>
  <c r="I98" i="3"/>
  <c r="I97" i="3"/>
  <c r="F87" i="3"/>
  <c r="E87" i="3"/>
  <c r="D87" i="3"/>
  <c r="D86" i="3"/>
  <c r="E86" i="3" s="1"/>
  <c r="H82" i="3"/>
  <c r="E82" i="3"/>
  <c r="H81" i="3"/>
  <c r="I81" i="3" s="1"/>
  <c r="J81" i="3" s="1"/>
  <c r="E81" i="3"/>
  <c r="D80" i="3"/>
  <c r="E80" i="3" s="1"/>
  <c r="E79" i="3"/>
  <c r="D79" i="3"/>
  <c r="F76" i="3"/>
  <c r="F74" i="3"/>
  <c r="D74" i="3"/>
  <c r="E74" i="3" s="1"/>
  <c r="H73" i="3"/>
  <c r="I73" i="3" s="1"/>
  <c r="J73" i="3" s="1"/>
  <c r="E73" i="3"/>
  <c r="H72" i="3"/>
  <c r="I72" i="3" s="1"/>
  <c r="J72" i="3" s="1"/>
  <c r="E72" i="3"/>
  <c r="I70" i="3"/>
  <c r="J70" i="3" s="1"/>
  <c r="F70" i="3"/>
  <c r="D70" i="3"/>
  <c r="E69" i="3"/>
  <c r="I68" i="3"/>
  <c r="J68" i="3" s="1"/>
  <c r="F68" i="3"/>
  <c r="G67" i="3"/>
  <c r="H67" i="3" s="1"/>
  <c r="E67" i="3"/>
  <c r="D67" i="3"/>
  <c r="F65" i="3"/>
  <c r="E63" i="3"/>
  <c r="F62" i="3"/>
  <c r="H62" i="3" s="1"/>
  <c r="I62" i="3" s="1"/>
  <c r="J62" i="3" s="1"/>
  <c r="E62" i="3"/>
  <c r="E58" i="3"/>
  <c r="I51" i="3"/>
  <c r="I50" i="3"/>
  <c r="C37" i="2"/>
  <c r="C131" i="2" s="1"/>
  <c r="F131" i="2" s="1"/>
  <c r="C38" i="2"/>
  <c r="C132" i="2" s="1"/>
  <c r="F132" i="2" s="1"/>
  <c r="C36" i="2"/>
  <c r="C83" i="2" s="1"/>
  <c r="F83" i="2" s="1"/>
  <c r="G106" i="2"/>
  <c r="D127" i="2"/>
  <c r="D126" i="2"/>
  <c r="E126" i="2" s="1"/>
  <c r="D124" i="2"/>
  <c r="E124" i="2" s="1"/>
  <c r="D123" i="2"/>
  <c r="D121" i="2"/>
  <c r="E121" i="2" s="1"/>
  <c r="D118" i="2"/>
  <c r="E118" i="2" s="1"/>
  <c r="D117" i="2"/>
  <c r="E117" i="2" s="1"/>
  <c r="D116" i="2"/>
  <c r="D115" i="2"/>
  <c r="D112" i="2"/>
  <c r="D111" i="2"/>
  <c r="E111" i="2" s="1"/>
  <c r="D106" i="2"/>
  <c r="C138" i="2"/>
  <c r="F138" i="2" s="1"/>
  <c r="C106" i="2"/>
  <c r="F106" i="2" s="1"/>
  <c r="C105" i="2"/>
  <c r="C59" i="2"/>
  <c r="C84" i="2"/>
  <c r="C91" i="2"/>
  <c r="F91" i="2" s="1"/>
  <c r="D80" i="2"/>
  <c r="E80" i="2" s="1"/>
  <c r="D79" i="2"/>
  <c r="E79" i="2" s="1"/>
  <c r="D77" i="2"/>
  <c r="E77" i="2" s="1"/>
  <c r="D76" i="2"/>
  <c r="E76" i="2" s="1"/>
  <c r="C58" i="2"/>
  <c r="E58" i="2" s="1"/>
  <c r="F50" i="2"/>
  <c r="I50" i="2" s="1"/>
  <c r="G85" i="2" s="1"/>
  <c r="D87" i="2"/>
  <c r="E87" i="2" s="1"/>
  <c r="D86" i="2"/>
  <c r="D74" i="2"/>
  <c r="E74" i="2" s="1"/>
  <c r="D71" i="2"/>
  <c r="E71" i="2" s="1"/>
  <c r="D70" i="2"/>
  <c r="E70" i="2" s="1"/>
  <c r="D69" i="2"/>
  <c r="E69" i="2" s="1"/>
  <c r="D68" i="2"/>
  <c r="D65" i="2"/>
  <c r="E65" i="2" s="1"/>
  <c r="D64" i="2"/>
  <c r="E64" i="2" s="1"/>
  <c r="D61" i="2"/>
  <c r="D60" i="2"/>
  <c r="E60" i="2" s="1"/>
  <c r="D59" i="2"/>
  <c r="D134" i="2"/>
  <c r="E134" i="2" s="1"/>
  <c r="E133" i="2"/>
  <c r="D133" i="2"/>
  <c r="D132" i="2"/>
  <c r="D131" i="2"/>
  <c r="D130" i="2"/>
  <c r="I129" i="2"/>
  <c r="J129" i="2" s="1"/>
  <c r="H129" i="2"/>
  <c r="E129" i="2"/>
  <c r="H128" i="2"/>
  <c r="I128" i="2" s="1"/>
  <c r="J128" i="2" s="1"/>
  <c r="E128" i="2"/>
  <c r="E127" i="2"/>
  <c r="F123" i="2"/>
  <c r="E123" i="2"/>
  <c r="F121" i="2"/>
  <c r="I120" i="2"/>
  <c r="J120" i="2" s="1"/>
  <c r="H120" i="2"/>
  <c r="E120" i="2"/>
  <c r="H119" i="2"/>
  <c r="I119" i="2" s="1"/>
  <c r="J119" i="2" s="1"/>
  <c r="F119" i="2"/>
  <c r="E119" i="2"/>
  <c r="E116" i="2"/>
  <c r="J115" i="2"/>
  <c r="I115" i="2"/>
  <c r="F115" i="2"/>
  <c r="F112" i="2"/>
  <c r="E112" i="2"/>
  <c r="E110" i="2"/>
  <c r="H109" i="2"/>
  <c r="I109" i="2" s="1"/>
  <c r="J109" i="2" s="1"/>
  <c r="F109" i="2"/>
  <c r="E109" i="2"/>
  <c r="D108" i="2"/>
  <c r="E108" i="2" s="1"/>
  <c r="E107" i="2"/>
  <c r="D107" i="2"/>
  <c r="E106" i="2"/>
  <c r="E105" i="2"/>
  <c r="I97" i="2"/>
  <c r="G132" i="2" s="1"/>
  <c r="E86" i="2"/>
  <c r="D85" i="2"/>
  <c r="D84" i="2"/>
  <c r="D83" i="2"/>
  <c r="I82" i="2"/>
  <c r="J82" i="2" s="1"/>
  <c r="H82" i="2"/>
  <c r="E82" i="2"/>
  <c r="I81" i="2"/>
  <c r="J81" i="2" s="1"/>
  <c r="H81" i="2"/>
  <c r="E81" i="2"/>
  <c r="F76" i="2"/>
  <c r="F74" i="2"/>
  <c r="I73" i="2"/>
  <c r="J73" i="2" s="1"/>
  <c r="H73" i="2"/>
  <c r="E73" i="2"/>
  <c r="I72" i="2"/>
  <c r="J72" i="2" s="1"/>
  <c r="H72" i="2"/>
  <c r="F72" i="2"/>
  <c r="E72" i="2"/>
  <c r="I68" i="2"/>
  <c r="J68" i="2" s="1"/>
  <c r="F68" i="2"/>
  <c r="F65" i="2"/>
  <c r="E63" i="2"/>
  <c r="H62" i="2"/>
  <c r="I62" i="2" s="1"/>
  <c r="J62" i="2" s="1"/>
  <c r="F62" i="2"/>
  <c r="E62" i="2"/>
  <c r="E61" i="2"/>
  <c r="G111" i="2" l="1"/>
  <c r="G123" i="2"/>
  <c r="G126" i="2"/>
  <c r="H126" i="2" s="1"/>
  <c r="G115" i="2"/>
  <c r="G127" i="2"/>
  <c r="H127" i="2" s="1"/>
  <c r="G117" i="2"/>
  <c r="H117" i="2" s="1"/>
  <c r="G124" i="2"/>
  <c r="H124" i="2" s="1"/>
  <c r="G112" i="2"/>
  <c r="H112" i="2" s="1"/>
  <c r="I112" i="2" s="1"/>
  <c r="J112" i="2" s="1"/>
  <c r="G116" i="2"/>
  <c r="H116" i="2" s="1"/>
  <c r="I116" i="2" s="1"/>
  <c r="J116" i="2" s="1"/>
  <c r="G118" i="2"/>
  <c r="H118" i="2" s="1"/>
  <c r="G121" i="2"/>
  <c r="H121" i="2" s="1"/>
  <c r="E59" i="2"/>
  <c r="E66" i="2" s="1"/>
  <c r="G64" i="2"/>
  <c r="G77" i="2"/>
  <c r="H77" i="2" s="1"/>
  <c r="G163" i="3"/>
  <c r="H163" i="3" s="1"/>
  <c r="I163" i="3" s="1"/>
  <c r="J163" i="3" s="1"/>
  <c r="G162" i="3"/>
  <c r="G155" i="3"/>
  <c r="H155" i="3" s="1"/>
  <c r="I155" i="3" s="1"/>
  <c r="J155" i="3" s="1"/>
  <c r="G153" i="3"/>
  <c r="G159" i="3"/>
  <c r="H159" i="3" s="1"/>
  <c r="I159" i="3" s="1"/>
  <c r="J159" i="3" s="1"/>
  <c r="G158" i="3"/>
  <c r="G154" i="3"/>
  <c r="H154" i="3" s="1"/>
  <c r="I154" i="3" s="1"/>
  <c r="J154" i="3" s="1"/>
  <c r="G171" i="3"/>
  <c r="H171" i="3" s="1"/>
  <c r="I171" i="3" s="1"/>
  <c r="J171" i="3" s="1"/>
  <c r="G170" i="3"/>
  <c r="H170" i="3" s="1"/>
  <c r="I170" i="3" s="1"/>
  <c r="J170" i="3" s="1"/>
  <c r="G165" i="3"/>
  <c r="H165" i="3" s="1"/>
  <c r="G164" i="3"/>
  <c r="G181" i="3"/>
  <c r="H181" i="3" s="1"/>
  <c r="I181" i="3" s="1"/>
  <c r="G174" i="3"/>
  <c r="H174" i="3" s="1"/>
  <c r="I174" i="3" s="1"/>
  <c r="J174" i="3" s="1"/>
  <c r="G173" i="3"/>
  <c r="H173" i="3" s="1"/>
  <c r="I173" i="3" s="1"/>
  <c r="J173" i="3" s="1"/>
  <c r="G115" i="3"/>
  <c r="G118" i="3"/>
  <c r="H118" i="3" s="1"/>
  <c r="I118" i="3" s="1"/>
  <c r="J118" i="3" s="1"/>
  <c r="G112" i="3"/>
  <c r="H112" i="3" s="1"/>
  <c r="I112" i="3" s="1"/>
  <c r="J112" i="3" s="1"/>
  <c r="G106" i="3"/>
  <c r="G111" i="3"/>
  <c r="G108" i="3"/>
  <c r="H108" i="3" s="1"/>
  <c r="I108" i="3" s="1"/>
  <c r="J108" i="3" s="1"/>
  <c r="G107" i="3"/>
  <c r="H107" i="3" s="1"/>
  <c r="I107" i="3" s="1"/>
  <c r="J107" i="3" s="1"/>
  <c r="G124" i="3"/>
  <c r="H124" i="3" s="1"/>
  <c r="I124" i="3" s="1"/>
  <c r="J124" i="3" s="1"/>
  <c r="G123" i="3"/>
  <c r="H123" i="3" s="1"/>
  <c r="G116" i="3"/>
  <c r="H116" i="3" s="1"/>
  <c r="I116" i="3" s="1"/>
  <c r="J116" i="3" s="1"/>
  <c r="G117" i="3"/>
  <c r="G134" i="3"/>
  <c r="G127" i="3"/>
  <c r="H127" i="3" s="1"/>
  <c r="I127" i="3" s="1"/>
  <c r="J127" i="3" s="1"/>
  <c r="G126" i="3"/>
  <c r="H126" i="3" s="1"/>
  <c r="I126" i="3" s="1"/>
  <c r="J126" i="3" s="1"/>
  <c r="H134" i="3"/>
  <c r="I134" i="3" s="1"/>
  <c r="G70" i="3"/>
  <c r="G80" i="3"/>
  <c r="H80" i="3" s="1"/>
  <c r="I80" i="3" s="1"/>
  <c r="J80" i="3" s="1"/>
  <c r="G87" i="3"/>
  <c r="H87" i="3" s="1"/>
  <c r="I87" i="3" s="1"/>
  <c r="G79" i="3"/>
  <c r="H79" i="3" s="1"/>
  <c r="I79" i="3" s="1"/>
  <c r="J79" i="3" s="1"/>
  <c r="G77" i="3"/>
  <c r="H77" i="3" s="1"/>
  <c r="I77" i="3" s="1"/>
  <c r="J77" i="3" s="1"/>
  <c r="G60" i="3"/>
  <c r="H60" i="3" s="1"/>
  <c r="I60" i="3" s="1"/>
  <c r="J60" i="3" s="1"/>
  <c r="G76" i="3"/>
  <c r="H76" i="3" s="1"/>
  <c r="I76" i="3" s="1"/>
  <c r="J76" i="3" s="1"/>
  <c r="G59" i="3"/>
  <c r="G71" i="3"/>
  <c r="H71" i="3" s="1"/>
  <c r="I71" i="3" s="1"/>
  <c r="J71" i="3" s="1"/>
  <c r="G64" i="3"/>
  <c r="G69" i="3"/>
  <c r="H69" i="3" s="1"/>
  <c r="I69" i="3" s="1"/>
  <c r="J69" i="3" s="1"/>
  <c r="G65" i="3"/>
  <c r="H65" i="3" s="1"/>
  <c r="G68" i="3"/>
  <c r="G61" i="3"/>
  <c r="H61" i="3" s="1"/>
  <c r="I61" i="3" s="1"/>
  <c r="J61" i="3" s="1"/>
  <c r="G61" i="2"/>
  <c r="H61" i="2" s="1"/>
  <c r="I61" i="2" s="1"/>
  <c r="J61" i="2" s="1"/>
  <c r="G76" i="2"/>
  <c r="H76" i="2" s="1"/>
  <c r="I76" i="2" s="1"/>
  <c r="J76" i="2" s="1"/>
  <c r="G65" i="2"/>
  <c r="H65" i="2" s="1"/>
  <c r="I65" i="2" s="1"/>
  <c r="J65" i="2" s="1"/>
  <c r="G79" i="2"/>
  <c r="H79" i="2" s="1"/>
  <c r="I79" i="2" s="1"/>
  <c r="J79" i="2" s="1"/>
  <c r="G68" i="2"/>
  <c r="G80" i="2"/>
  <c r="H80" i="2" s="1"/>
  <c r="I80" i="2" s="1"/>
  <c r="J80" i="2" s="1"/>
  <c r="G69" i="2"/>
  <c r="H69" i="2" s="1"/>
  <c r="I69" i="2" s="1"/>
  <c r="J69" i="2" s="1"/>
  <c r="G59" i="2"/>
  <c r="G70" i="2"/>
  <c r="H70" i="2" s="1"/>
  <c r="I70" i="2" s="1"/>
  <c r="J70" i="2" s="1"/>
  <c r="G71" i="2"/>
  <c r="H71" i="2" s="1"/>
  <c r="I71" i="2" s="1"/>
  <c r="J71" i="2" s="1"/>
  <c r="G60" i="2"/>
  <c r="H60" i="2" s="1"/>
  <c r="G74" i="2"/>
  <c r="H74" i="2" s="1"/>
  <c r="I74" i="2" s="1"/>
  <c r="J74" i="2" s="1"/>
  <c r="I176" i="3"/>
  <c r="J176" i="3" s="1"/>
  <c r="I178" i="3"/>
  <c r="J178" i="3" s="1"/>
  <c r="I165" i="3"/>
  <c r="J165" i="3" s="1"/>
  <c r="I82" i="3"/>
  <c r="J82" i="3" s="1"/>
  <c r="I123" i="3"/>
  <c r="J123" i="3" s="1"/>
  <c r="I161" i="3"/>
  <c r="J161" i="3" s="1"/>
  <c r="I114" i="3"/>
  <c r="J114" i="3" s="1"/>
  <c r="C130" i="2"/>
  <c r="F130" i="2" s="1"/>
  <c r="I67" i="3"/>
  <c r="J67" i="3" s="1"/>
  <c r="E160" i="3"/>
  <c r="F177" i="3"/>
  <c r="H177" i="3" s="1"/>
  <c r="I177" i="3" s="1"/>
  <c r="J177" i="3" s="1"/>
  <c r="G168" i="3"/>
  <c r="H168" i="3" s="1"/>
  <c r="I168" i="3" s="1"/>
  <c r="J168" i="3" s="1"/>
  <c r="F179" i="3"/>
  <c r="H179" i="3" s="1"/>
  <c r="I179" i="3" s="1"/>
  <c r="J179" i="3" s="1"/>
  <c r="E113" i="3"/>
  <c r="G121" i="3"/>
  <c r="H121" i="3" s="1"/>
  <c r="I121" i="3" s="1"/>
  <c r="J121" i="3" s="1"/>
  <c r="E132" i="3"/>
  <c r="I132" i="3" s="1"/>
  <c r="J132" i="3" s="1"/>
  <c r="E131" i="3"/>
  <c r="I131" i="3" s="1"/>
  <c r="J131" i="3" s="1"/>
  <c r="E130" i="3"/>
  <c r="I130" i="3" s="1"/>
  <c r="J130" i="3" s="1"/>
  <c r="I65" i="3"/>
  <c r="J65" i="3" s="1"/>
  <c r="E66" i="3"/>
  <c r="G74" i="3"/>
  <c r="H74" i="3" s="1"/>
  <c r="I74" i="3" s="1"/>
  <c r="J74" i="3" s="1"/>
  <c r="C85" i="2"/>
  <c r="F85" i="2" s="1"/>
  <c r="H85" i="2" s="1"/>
  <c r="E132" i="2"/>
  <c r="H123" i="2"/>
  <c r="I123" i="2" s="1"/>
  <c r="J123" i="2" s="1"/>
  <c r="H106" i="2"/>
  <c r="I106" i="2" s="1"/>
  <c r="J106" i="2" s="1"/>
  <c r="I121" i="2"/>
  <c r="J121" i="2" s="1"/>
  <c r="I117" i="2"/>
  <c r="J117" i="2" s="1"/>
  <c r="E131" i="2"/>
  <c r="C114" i="2"/>
  <c r="D114" i="2" s="1"/>
  <c r="E114" i="2" s="1"/>
  <c r="E83" i="2"/>
  <c r="F84" i="2"/>
  <c r="E84" i="2"/>
  <c r="I60" i="2"/>
  <c r="J60" i="2" s="1"/>
  <c r="H132" i="2"/>
  <c r="E113" i="2"/>
  <c r="I118" i="2"/>
  <c r="J118" i="2" s="1"/>
  <c r="I124" i="2"/>
  <c r="J124" i="2" s="1"/>
  <c r="I126" i="2"/>
  <c r="J126" i="2" s="1"/>
  <c r="F114" i="2"/>
  <c r="G114" i="2" s="1"/>
  <c r="I127" i="2"/>
  <c r="J127" i="2" s="1"/>
  <c r="F105" i="2"/>
  <c r="H105" i="2" s="1"/>
  <c r="G130" i="2"/>
  <c r="H130" i="2" s="1"/>
  <c r="G131" i="2"/>
  <c r="H131" i="2" s="1"/>
  <c r="I77" i="2"/>
  <c r="J77" i="2" s="1"/>
  <c r="G83" i="2"/>
  <c r="H83" i="2" s="1"/>
  <c r="G84" i="2"/>
  <c r="P39" i="1"/>
  <c r="Q39" i="1" s="1"/>
  <c r="P38" i="1"/>
  <c r="Q38" i="1" s="1"/>
  <c r="D87" i="1"/>
  <c r="E87" i="1" s="1"/>
  <c r="D86" i="1"/>
  <c r="P87" i="1"/>
  <c r="Q87" i="1" s="1"/>
  <c r="P86" i="1"/>
  <c r="Q86" i="1" s="1"/>
  <c r="P80" i="1"/>
  <c r="Q80" i="1" s="1"/>
  <c r="P79" i="1"/>
  <c r="Q79" i="1" s="1"/>
  <c r="P77" i="1"/>
  <c r="Q77" i="1" s="1"/>
  <c r="P76" i="1"/>
  <c r="Q76" i="1" s="1"/>
  <c r="P74" i="1"/>
  <c r="P71" i="1"/>
  <c r="Q71" i="1" s="1"/>
  <c r="P70" i="1"/>
  <c r="Q70" i="1" s="1"/>
  <c r="P69" i="1"/>
  <c r="P68" i="1"/>
  <c r="P65" i="1"/>
  <c r="P62" i="1"/>
  <c r="Q62" i="1" s="1"/>
  <c r="P61" i="1"/>
  <c r="Q61" i="1" s="1"/>
  <c r="P60" i="1"/>
  <c r="Q60" i="1" s="1"/>
  <c r="P32" i="1"/>
  <c r="Q32" i="1" s="1"/>
  <c r="P31" i="1"/>
  <c r="Q31" i="1" s="1"/>
  <c r="P29" i="1"/>
  <c r="Q29" i="1" s="1"/>
  <c r="P28" i="1"/>
  <c r="Q28" i="1" s="1"/>
  <c r="P26" i="1"/>
  <c r="Q26" i="1" s="1"/>
  <c r="P23" i="1"/>
  <c r="Q23" i="1" s="1"/>
  <c r="P22" i="1"/>
  <c r="Q22" i="1" s="1"/>
  <c r="P21" i="1"/>
  <c r="Q21" i="1" s="1"/>
  <c r="P20" i="1"/>
  <c r="P17" i="1"/>
  <c r="P14" i="1"/>
  <c r="Q14" i="1" s="1"/>
  <c r="P13" i="1"/>
  <c r="Q13" i="1" s="1"/>
  <c r="P12" i="1"/>
  <c r="Q12" i="1" s="1"/>
  <c r="R3" i="1"/>
  <c r="U3" i="1" s="1"/>
  <c r="S35" i="1" s="1"/>
  <c r="R5" i="1"/>
  <c r="F51" i="1"/>
  <c r="I51" i="1" s="1"/>
  <c r="G85" i="1" s="1"/>
  <c r="F53" i="1"/>
  <c r="R53" i="1" s="1"/>
  <c r="D80" i="1"/>
  <c r="E80" i="1" s="1"/>
  <c r="D79" i="1"/>
  <c r="E79" i="1" s="1"/>
  <c r="D77" i="1"/>
  <c r="D76" i="1"/>
  <c r="E76" i="1" s="1"/>
  <c r="D74" i="1"/>
  <c r="D71" i="1"/>
  <c r="D70" i="1"/>
  <c r="D69" i="1"/>
  <c r="D68" i="1"/>
  <c r="D65" i="1"/>
  <c r="D62" i="1"/>
  <c r="D61" i="1"/>
  <c r="E61" i="1" s="1"/>
  <c r="D60" i="1"/>
  <c r="E60" i="1" s="1"/>
  <c r="O91" i="1"/>
  <c r="R91" i="1" s="1"/>
  <c r="C91" i="1"/>
  <c r="F91" i="1" s="1"/>
  <c r="O43" i="1"/>
  <c r="R43" i="1" s="1"/>
  <c r="O59" i="1"/>
  <c r="Q59" i="1" s="1"/>
  <c r="C59" i="1"/>
  <c r="E59" i="1" s="1"/>
  <c r="O11" i="1"/>
  <c r="R11" i="1" s="1"/>
  <c r="T11" i="1" s="1"/>
  <c r="O84" i="1"/>
  <c r="R84" i="1" s="1"/>
  <c r="O85" i="1"/>
  <c r="R85" i="1" s="1"/>
  <c r="O83" i="1"/>
  <c r="R83" i="1" s="1"/>
  <c r="C84" i="1"/>
  <c r="F84" i="1" s="1"/>
  <c r="C85" i="1"/>
  <c r="F85" i="1" s="1"/>
  <c r="C83" i="1"/>
  <c r="O36" i="1"/>
  <c r="R36" i="1" s="1"/>
  <c r="O37" i="1"/>
  <c r="R37" i="1" s="1"/>
  <c r="O35" i="1"/>
  <c r="E86" i="1"/>
  <c r="P85" i="1"/>
  <c r="D85" i="1"/>
  <c r="E85" i="1" s="1"/>
  <c r="P84" i="1"/>
  <c r="D84" i="1"/>
  <c r="P83" i="1"/>
  <c r="D83" i="1"/>
  <c r="E83" i="1" s="1"/>
  <c r="V82" i="1"/>
  <c r="U82" i="1"/>
  <c r="T82" i="1"/>
  <c r="Q82" i="1"/>
  <c r="H82" i="1"/>
  <c r="I82" i="1" s="1"/>
  <c r="J82" i="1" s="1"/>
  <c r="E82" i="1"/>
  <c r="V81" i="1"/>
  <c r="U81" i="1"/>
  <c r="T81" i="1"/>
  <c r="Q81" i="1"/>
  <c r="H81" i="1"/>
  <c r="I81" i="1" s="1"/>
  <c r="J81" i="1" s="1"/>
  <c r="E81" i="1"/>
  <c r="E77" i="1"/>
  <c r="R76" i="1"/>
  <c r="F76" i="1"/>
  <c r="Q74" i="1"/>
  <c r="E74" i="1"/>
  <c r="T73" i="1"/>
  <c r="U73" i="1" s="1"/>
  <c r="V73" i="1" s="1"/>
  <c r="Q73" i="1"/>
  <c r="H73" i="1"/>
  <c r="I73" i="1" s="1"/>
  <c r="J73" i="1" s="1"/>
  <c r="E73" i="1"/>
  <c r="T72" i="1"/>
  <c r="U72" i="1" s="1"/>
  <c r="V72" i="1" s="1"/>
  <c r="Q72" i="1"/>
  <c r="H72" i="1"/>
  <c r="I72" i="1" s="1"/>
  <c r="J72" i="1" s="1"/>
  <c r="E72" i="1"/>
  <c r="E71" i="1"/>
  <c r="E70" i="1"/>
  <c r="Q69" i="1"/>
  <c r="E69" i="1"/>
  <c r="U68" i="1"/>
  <c r="V68" i="1" s="1"/>
  <c r="R68" i="1"/>
  <c r="I68" i="1"/>
  <c r="J68" i="1" s="1"/>
  <c r="F68" i="1"/>
  <c r="V65" i="1"/>
  <c r="U65" i="1"/>
  <c r="J65" i="1"/>
  <c r="I65" i="1"/>
  <c r="Q64" i="1"/>
  <c r="E64" i="1"/>
  <c r="U63" i="1"/>
  <c r="V63" i="1" s="1"/>
  <c r="T63" i="1"/>
  <c r="Q63" i="1"/>
  <c r="H63" i="1"/>
  <c r="I63" i="1" s="1"/>
  <c r="J63" i="1" s="1"/>
  <c r="E63" i="1"/>
  <c r="E62" i="1"/>
  <c r="R60" i="1"/>
  <c r="F60" i="1"/>
  <c r="P37" i="1"/>
  <c r="P36" i="1"/>
  <c r="P35" i="1"/>
  <c r="U34" i="1"/>
  <c r="V34" i="1" s="1"/>
  <c r="T34" i="1"/>
  <c r="Q34" i="1"/>
  <c r="T33" i="1"/>
  <c r="Q33" i="1"/>
  <c r="R28" i="1"/>
  <c r="T25" i="1"/>
  <c r="Q25" i="1"/>
  <c r="T24" i="1"/>
  <c r="U24" i="1" s="1"/>
  <c r="V24" i="1" s="1"/>
  <c r="Q24" i="1"/>
  <c r="U20" i="1"/>
  <c r="V20" i="1" s="1"/>
  <c r="R20" i="1"/>
  <c r="U17" i="1"/>
  <c r="V17" i="1" s="1"/>
  <c r="Q16" i="1"/>
  <c r="T15" i="1"/>
  <c r="Q15" i="1"/>
  <c r="R12" i="1"/>
  <c r="Q11" i="1"/>
  <c r="R59" i="1" l="1"/>
  <c r="T59" i="1" s="1"/>
  <c r="U59" i="1" s="1"/>
  <c r="I132" i="2"/>
  <c r="J132" i="2" s="1"/>
  <c r="I83" i="2"/>
  <c r="J83" i="2" s="1"/>
  <c r="E130" i="2"/>
  <c r="I130" i="2" s="1"/>
  <c r="J130" i="2" s="1"/>
  <c r="J181" i="3"/>
  <c r="E169" i="3"/>
  <c r="E122" i="3"/>
  <c r="J134" i="3"/>
  <c r="J87" i="3"/>
  <c r="E75" i="3"/>
  <c r="I85" i="2"/>
  <c r="J85" i="2" s="1"/>
  <c r="F67" i="2"/>
  <c r="C67" i="2"/>
  <c r="D67" i="2" s="1"/>
  <c r="E67" i="2" s="1"/>
  <c r="E75" i="2" s="1"/>
  <c r="E85" i="2"/>
  <c r="I131" i="2"/>
  <c r="J131" i="2" s="1"/>
  <c r="G67" i="2"/>
  <c r="H67" i="2" s="1"/>
  <c r="H84" i="2"/>
  <c r="I84" i="2" s="1"/>
  <c r="J84" i="2" s="1"/>
  <c r="E122" i="2"/>
  <c r="H114" i="2"/>
  <c r="I114" i="2" s="1"/>
  <c r="J114" i="2" s="1"/>
  <c r="I105" i="2"/>
  <c r="S21" i="1"/>
  <c r="Q37" i="1"/>
  <c r="Q85" i="1"/>
  <c r="F59" i="1"/>
  <c r="H59" i="1" s="1"/>
  <c r="I59" i="1" s="1"/>
  <c r="R51" i="1"/>
  <c r="U51" i="1" s="1"/>
  <c r="S79" i="1" s="1"/>
  <c r="S12" i="1"/>
  <c r="S28" i="1"/>
  <c r="S13" i="1"/>
  <c r="S29" i="1"/>
  <c r="S14" i="1"/>
  <c r="S32" i="1"/>
  <c r="S22" i="1"/>
  <c r="S17" i="1"/>
  <c r="S26" i="1"/>
  <c r="S39" i="1"/>
  <c r="G86" i="1"/>
  <c r="S20" i="1"/>
  <c r="S31" i="1"/>
  <c r="S38" i="1"/>
  <c r="S23" i="1"/>
  <c r="G87" i="1"/>
  <c r="G77" i="1"/>
  <c r="G62" i="1"/>
  <c r="G80" i="1"/>
  <c r="G65" i="1"/>
  <c r="G69" i="1"/>
  <c r="G68" i="1"/>
  <c r="G70" i="1"/>
  <c r="G74" i="1"/>
  <c r="G71" i="1"/>
  <c r="G79" i="1"/>
  <c r="G60" i="1"/>
  <c r="G76" i="1"/>
  <c r="G61" i="1"/>
  <c r="Q66" i="1"/>
  <c r="E66" i="1"/>
  <c r="Q84" i="1"/>
  <c r="R67" i="1"/>
  <c r="O67" i="1"/>
  <c r="Q83" i="1"/>
  <c r="H85" i="1"/>
  <c r="I85" i="1" s="1"/>
  <c r="J85" i="1" s="1"/>
  <c r="E84" i="1"/>
  <c r="C67" i="1"/>
  <c r="F83" i="1"/>
  <c r="F67" i="1" s="1"/>
  <c r="G67" i="1" s="1"/>
  <c r="Q36" i="1"/>
  <c r="O19" i="1"/>
  <c r="Q35" i="1"/>
  <c r="R35" i="1"/>
  <c r="R19" i="1" s="1"/>
  <c r="S19" i="1" s="1"/>
  <c r="G83" i="1"/>
  <c r="G84" i="1"/>
  <c r="H84" i="1" s="1"/>
  <c r="I84" i="1" s="1"/>
  <c r="J84" i="1" s="1"/>
  <c r="Q18" i="1"/>
  <c r="U33" i="1"/>
  <c r="V33" i="1" s="1"/>
  <c r="U15" i="1"/>
  <c r="V15" i="1" s="1"/>
  <c r="U25" i="1"/>
  <c r="V25" i="1" s="1"/>
  <c r="U11" i="1"/>
  <c r="S37" i="1"/>
  <c r="T37" i="1" s="1"/>
  <c r="U37" i="1" s="1"/>
  <c r="V37" i="1" s="1"/>
  <c r="S36" i="1"/>
  <c r="T36" i="1" s="1"/>
  <c r="S61" i="1" l="1"/>
  <c r="S69" i="1"/>
  <c r="S62" i="1"/>
  <c r="S83" i="1"/>
  <c r="T83" i="1" s="1"/>
  <c r="U83" i="1" s="1"/>
  <c r="V83" i="1" s="1"/>
  <c r="S65" i="1"/>
  <c r="S85" i="1"/>
  <c r="T85" i="1" s="1"/>
  <c r="U85" i="1" s="1"/>
  <c r="V85" i="1" s="1"/>
  <c r="S71" i="1"/>
  <c r="S70" i="1"/>
  <c r="S67" i="1"/>
  <c r="S80" i="1"/>
  <c r="I67" i="2"/>
  <c r="J67" i="2" s="1"/>
  <c r="U36" i="1"/>
  <c r="V36" i="1" s="1"/>
  <c r="E172" i="3"/>
  <c r="E125" i="3"/>
  <c r="E78" i="3"/>
  <c r="E125" i="2"/>
  <c r="J105" i="2"/>
  <c r="E78" i="2"/>
  <c r="S86" i="1"/>
  <c r="S76" i="1"/>
  <c r="S60" i="1"/>
  <c r="S68" i="1"/>
  <c r="S84" i="1"/>
  <c r="T84" i="1" s="1"/>
  <c r="U84" i="1" s="1"/>
  <c r="V84" i="1" s="1"/>
  <c r="S74" i="1"/>
  <c r="S77" i="1"/>
  <c r="S87" i="1"/>
  <c r="H83" i="1"/>
  <c r="I83" i="1" s="1"/>
  <c r="J83" i="1" s="1"/>
  <c r="P67" i="1"/>
  <c r="Q67" i="1" s="1"/>
  <c r="Q75" i="1" s="1"/>
  <c r="Q78" i="1" s="1"/>
  <c r="P19" i="1"/>
  <c r="Q19" i="1" s="1"/>
  <c r="Q27" i="1" s="1"/>
  <c r="Q30" i="1" s="1"/>
  <c r="D67" i="1"/>
  <c r="E67" i="1" s="1"/>
  <c r="E75" i="1" s="1"/>
  <c r="E78" i="1" s="1"/>
  <c r="T35" i="1"/>
  <c r="U35" i="1" s="1"/>
  <c r="V35" i="1" s="1"/>
  <c r="V59" i="1"/>
  <c r="J59" i="1"/>
  <c r="V11" i="1"/>
  <c r="E183" i="3" l="1"/>
  <c r="E136" i="3"/>
  <c r="E136" i="2"/>
  <c r="E89" i="2"/>
  <c r="Q89" i="1"/>
  <c r="E89" i="1"/>
  <c r="Q41" i="1"/>
  <c r="E184" i="3" l="1"/>
  <c r="E137" i="3"/>
  <c r="E137" i="2"/>
  <c r="E138" i="2"/>
  <c r="E90" i="2"/>
  <c r="E91" i="2"/>
  <c r="E91" i="1"/>
  <c r="E90" i="1"/>
  <c r="Q91" i="1"/>
  <c r="Q90" i="1"/>
  <c r="Q43" i="1"/>
  <c r="Q42" i="1"/>
  <c r="E186" i="3" l="1"/>
  <c r="E139" i="3"/>
  <c r="E92" i="2"/>
  <c r="E139" i="2"/>
  <c r="E92" i="1"/>
  <c r="E94" i="1" s="1"/>
  <c r="Q92" i="1"/>
  <c r="Q44" i="1"/>
  <c r="Q94" i="1" l="1"/>
  <c r="Q46" i="1"/>
  <c r="C37" i="3" l="1"/>
  <c r="C38" i="3"/>
  <c r="C36" i="3"/>
  <c r="F40" i="3"/>
  <c r="C44" i="2"/>
  <c r="F5" i="3"/>
  <c r="F11" i="3" s="1"/>
  <c r="F5" i="2"/>
  <c r="F11" i="1"/>
  <c r="F11" i="2" l="1"/>
  <c r="F52" i="2"/>
  <c r="F58" i="3"/>
  <c r="H58" i="3" s="1"/>
  <c r="I58" i="3" s="1"/>
  <c r="F199" i="3"/>
  <c r="H199" i="3" s="1"/>
  <c r="I199" i="3" s="1"/>
  <c r="J199" i="3" s="1"/>
  <c r="F105" i="3"/>
  <c r="H105" i="3" s="1"/>
  <c r="I105" i="3" s="1"/>
  <c r="J105" i="3" s="1"/>
  <c r="F152" i="3"/>
  <c r="H152" i="3" s="1"/>
  <c r="I152" i="3" s="1"/>
  <c r="J152" i="3" s="1"/>
  <c r="E85" i="3"/>
  <c r="F85" i="3"/>
  <c r="H85" i="3" s="1"/>
  <c r="I85" i="3" s="1"/>
  <c r="J85" i="3" s="1"/>
  <c r="F84" i="3"/>
  <c r="H84" i="3" s="1"/>
  <c r="E84" i="3"/>
  <c r="I84" i="3" s="1"/>
  <c r="J84" i="3" s="1"/>
  <c r="E83" i="3"/>
  <c r="E89" i="3" s="1"/>
  <c r="F83" i="3"/>
  <c r="H83" i="3" s="1"/>
  <c r="F12" i="2"/>
  <c r="F12" i="3"/>
  <c r="F59" i="2" l="1"/>
  <c r="H59" i="2" s="1"/>
  <c r="I59" i="2" s="1"/>
  <c r="J59" i="2" s="1"/>
  <c r="F58" i="2"/>
  <c r="H58" i="2" s="1"/>
  <c r="I58" i="2" s="1"/>
  <c r="J58" i="2" s="1"/>
  <c r="F59" i="3"/>
  <c r="H59" i="3" s="1"/>
  <c r="I59" i="3" s="1"/>
  <c r="J59" i="3" s="1"/>
  <c r="F106" i="3"/>
  <c r="H106" i="3" s="1"/>
  <c r="I106" i="3" s="1"/>
  <c r="J106" i="3" s="1"/>
  <c r="F153" i="3"/>
  <c r="H153" i="3" s="1"/>
  <c r="I153" i="3" s="1"/>
  <c r="J153" i="3" s="1"/>
  <c r="F200" i="3"/>
  <c r="H200" i="3" s="1"/>
  <c r="I200" i="3" s="1"/>
  <c r="J200" i="3" s="1"/>
  <c r="J58" i="3"/>
  <c r="I83" i="3"/>
  <c r="E90" i="3"/>
  <c r="E92" i="3" s="1"/>
  <c r="D27" i="3"/>
  <c r="J83" i="3" l="1"/>
  <c r="F20" i="1"/>
  <c r="F29" i="3" l="1"/>
  <c r="F27" i="3"/>
  <c r="F23" i="3"/>
  <c r="F21" i="3"/>
  <c r="F18" i="3"/>
  <c r="F15" i="3"/>
  <c r="F27" i="2"/>
  <c r="F25" i="2"/>
  <c r="F21" i="2"/>
  <c r="F29" i="2" l="1"/>
  <c r="F18" i="2" l="1"/>
  <c r="F15" i="2"/>
  <c r="F28" i="1" l="1"/>
  <c r="F12" i="1"/>
  <c r="C20" i="2" l="1"/>
  <c r="F37" i="3"/>
  <c r="F38" i="3"/>
  <c r="F36" i="3"/>
  <c r="F44" i="2"/>
  <c r="F37" i="2"/>
  <c r="F38" i="2"/>
  <c r="F36" i="2"/>
  <c r="F43" i="1"/>
  <c r="F36" i="1"/>
  <c r="F37" i="1"/>
  <c r="F35" i="1"/>
  <c r="C19" i="1"/>
  <c r="F20" i="2" l="1"/>
  <c r="F19" i="1"/>
  <c r="I21" i="2" l="1"/>
  <c r="D40" i="3" l="1"/>
  <c r="I3" i="3" l="1"/>
  <c r="G227" i="3" l="1"/>
  <c r="H227" i="3" s="1"/>
  <c r="I227" i="3" s="1"/>
  <c r="J227" i="3" s="1"/>
  <c r="G86" i="3"/>
  <c r="H86" i="3" s="1"/>
  <c r="I86" i="3" s="1"/>
  <c r="J86" i="3" s="1"/>
  <c r="G133" i="3"/>
  <c r="H133" i="3" s="1"/>
  <c r="I133" i="3" s="1"/>
  <c r="J133" i="3" s="1"/>
  <c r="G180" i="3"/>
  <c r="H180" i="3" s="1"/>
  <c r="I180" i="3" s="1"/>
  <c r="J180" i="3" s="1"/>
  <c r="I4" i="3"/>
  <c r="G27" i="3" s="1"/>
  <c r="G29" i="3"/>
  <c r="G30" i="3"/>
  <c r="G17" i="3"/>
  <c r="G24" i="3"/>
  <c r="G18" i="3"/>
  <c r="H18" i="3" s="1"/>
  <c r="G14" i="3"/>
  <c r="G13" i="3"/>
  <c r="G12" i="3"/>
  <c r="G22" i="3"/>
  <c r="G21" i="3"/>
  <c r="G33" i="3" l="1"/>
  <c r="G32" i="3"/>
  <c r="G40" i="3"/>
  <c r="G23" i="3"/>
  <c r="I3" i="8" l="1"/>
  <c r="D17" i="3"/>
  <c r="E17" i="3" s="1"/>
  <c r="E16" i="3"/>
  <c r="D17" i="2"/>
  <c r="E17" i="2" s="1"/>
  <c r="E16" i="2"/>
  <c r="E16" i="1"/>
  <c r="H29" i="3" l="1"/>
  <c r="G20" i="3"/>
  <c r="H20" i="3" s="1"/>
  <c r="H13" i="3"/>
  <c r="E40" i="3"/>
  <c r="D33" i="3"/>
  <c r="E33" i="3" s="1"/>
  <c r="D32" i="3"/>
  <c r="E32" i="3" s="1"/>
  <c r="D23" i="3"/>
  <c r="D39" i="3"/>
  <c r="E39" i="3" s="1"/>
  <c r="E38" i="3"/>
  <c r="E37" i="3"/>
  <c r="E36" i="3"/>
  <c r="H35" i="3"/>
  <c r="E35" i="3"/>
  <c r="H34" i="3"/>
  <c r="I34" i="3" s="1"/>
  <c r="J34" i="3" s="1"/>
  <c r="E34" i="3"/>
  <c r="D30" i="3"/>
  <c r="E30" i="3" s="1"/>
  <c r="D29" i="3"/>
  <c r="E29" i="3" s="1"/>
  <c r="E27" i="3"/>
  <c r="H26" i="3"/>
  <c r="E26" i="3"/>
  <c r="H25" i="3"/>
  <c r="E25" i="3"/>
  <c r="D24" i="3"/>
  <c r="E24" i="3" s="1"/>
  <c r="D22" i="3"/>
  <c r="E22" i="3" s="1"/>
  <c r="D21" i="3"/>
  <c r="D20" i="3"/>
  <c r="E20" i="3" s="1"/>
  <c r="D18" i="3"/>
  <c r="E18" i="3" s="1"/>
  <c r="H15" i="3"/>
  <c r="E15" i="3"/>
  <c r="D14" i="3"/>
  <c r="E14" i="3" s="1"/>
  <c r="D13" i="3"/>
  <c r="E13" i="3" s="1"/>
  <c r="D12" i="3"/>
  <c r="E12" i="3" s="1"/>
  <c r="H11" i="3"/>
  <c r="E11" i="3"/>
  <c r="D40" i="2"/>
  <c r="E40" i="2" s="1"/>
  <c r="D39" i="2"/>
  <c r="E39" i="2" s="1"/>
  <c r="D38" i="2"/>
  <c r="E38" i="2" s="1"/>
  <c r="D37" i="2"/>
  <c r="E37" i="2" s="1"/>
  <c r="D36" i="2"/>
  <c r="E36" i="2" s="1"/>
  <c r="H35" i="2"/>
  <c r="E35" i="2"/>
  <c r="H34" i="2"/>
  <c r="E34" i="2"/>
  <c r="D33" i="2"/>
  <c r="E33" i="2" s="1"/>
  <c r="D32" i="2"/>
  <c r="E32" i="2" s="1"/>
  <c r="D30" i="2"/>
  <c r="E30" i="2" s="1"/>
  <c r="D29" i="2"/>
  <c r="E29" i="2" s="1"/>
  <c r="D27" i="2"/>
  <c r="E27" i="2" s="1"/>
  <c r="H26" i="2"/>
  <c r="E26" i="2"/>
  <c r="H25" i="2"/>
  <c r="E25" i="2"/>
  <c r="D24" i="2"/>
  <c r="E24" i="2" s="1"/>
  <c r="D23" i="2"/>
  <c r="E23" i="2" s="1"/>
  <c r="D22" i="2"/>
  <c r="E22" i="2" s="1"/>
  <c r="D21" i="2"/>
  <c r="D20" i="2"/>
  <c r="E20" i="2" s="1"/>
  <c r="D18" i="2"/>
  <c r="E18" i="2" s="1"/>
  <c r="H15" i="2"/>
  <c r="E15" i="2"/>
  <c r="D14" i="2"/>
  <c r="E14" i="2" s="1"/>
  <c r="D13" i="2"/>
  <c r="E13" i="2" s="1"/>
  <c r="D12" i="2"/>
  <c r="E12" i="2" s="1"/>
  <c r="H11" i="2"/>
  <c r="E11" i="2"/>
  <c r="I3" i="2"/>
  <c r="I3" i="1"/>
  <c r="D37" i="1"/>
  <c r="E37" i="1" s="1"/>
  <c r="D36" i="1"/>
  <c r="E36" i="1" s="1"/>
  <c r="D35" i="1"/>
  <c r="E35" i="1" s="1"/>
  <c r="H34" i="1"/>
  <c r="H33" i="1"/>
  <c r="H25" i="1"/>
  <c r="H24" i="1"/>
  <c r="H15" i="1"/>
  <c r="H11" i="1"/>
  <c r="E34" i="1"/>
  <c r="E33" i="1"/>
  <c r="I33" i="1" s="1"/>
  <c r="J33" i="1" s="1"/>
  <c r="E25" i="1"/>
  <c r="E24" i="1"/>
  <c r="E15" i="1"/>
  <c r="E11" i="1"/>
  <c r="D39" i="1"/>
  <c r="E39" i="1" s="1"/>
  <c r="D38" i="1"/>
  <c r="E38" i="1" s="1"/>
  <c r="D32" i="1"/>
  <c r="E32" i="1" s="1"/>
  <c r="D31" i="1"/>
  <c r="E31" i="1" s="1"/>
  <c r="D29" i="1"/>
  <c r="E29" i="1" s="1"/>
  <c r="D28" i="1"/>
  <c r="E28" i="1" s="1"/>
  <c r="D19" i="1"/>
  <c r="E19" i="1" s="1"/>
  <c r="D26" i="1"/>
  <c r="E26" i="1" s="1"/>
  <c r="D23" i="1"/>
  <c r="E23" i="1" s="1"/>
  <c r="D22" i="1"/>
  <c r="E22" i="1" s="1"/>
  <c r="D21" i="1"/>
  <c r="E21" i="1" s="1"/>
  <c r="D20" i="1"/>
  <c r="D17" i="1"/>
  <c r="D14" i="1"/>
  <c r="E14" i="1" s="1"/>
  <c r="D13" i="1"/>
  <c r="E13" i="1" s="1"/>
  <c r="D12" i="1"/>
  <c r="E12" i="1" s="1"/>
  <c r="G108" i="2" l="1"/>
  <c r="H108" i="2" s="1"/>
  <c r="I108" i="2" s="1"/>
  <c r="J108" i="2" s="1"/>
  <c r="G87" i="2"/>
  <c r="H87" i="2" s="1"/>
  <c r="I87" i="2" s="1"/>
  <c r="J87" i="2" s="1"/>
  <c r="G107" i="2"/>
  <c r="H107" i="2" s="1"/>
  <c r="I107" i="2" s="1"/>
  <c r="J107" i="2" s="1"/>
  <c r="G86" i="2"/>
  <c r="H86" i="2" s="1"/>
  <c r="I86" i="2" s="1"/>
  <c r="J86" i="2" s="1"/>
  <c r="G134" i="2"/>
  <c r="H134" i="2" s="1"/>
  <c r="I134" i="2" s="1"/>
  <c r="J134" i="2" s="1"/>
  <c r="G133" i="2"/>
  <c r="H133" i="2" s="1"/>
  <c r="I133" i="2" s="1"/>
  <c r="J133" i="2" s="1"/>
  <c r="T79" i="1"/>
  <c r="U79" i="1" s="1"/>
  <c r="V79" i="1" s="1"/>
  <c r="H76" i="1"/>
  <c r="I76" i="1" s="1"/>
  <c r="J76" i="1" s="1"/>
  <c r="T71" i="1"/>
  <c r="U71" i="1" s="1"/>
  <c r="V71" i="1" s="1"/>
  <c r="H62" i="1"/>
  <c r="I62" i="1" s="1"/>
  <c r="J62" i="1" s="1"/>
  <c r="T86" i="1"/>
  <c r="U86" i="1" s="1"/>
  <c r="V86" i="1" s="1"/>
  <c r="T80" i="1"/>
  <c r="U80" i="1" s="1"/>
  <c r="V80" i="1" s="1"/>
  <c r="H77" i="1"/>
  <c r="I77" i="1" s="1"/>
  <c r="J77" i="1" s="1"/>
  <c r="H71" i="1"/>
  <c r="I71" i="1" s="1"/>
  <c r="J71" i="1" s="1"/>
  <c r="T69" i="1"/>
  <c r="U69" i="1" s="1"/>
  <c r="V69" i="1" s="1"/>
  <c r="H80" i="1"/>
  <c r="I80" i="1" s="1"/>
  <c r="J80" i="1" s="1"/>
  <c r="T60" i="1"/>
  <c r="T87" i="1"/>
  <c r="U87" i="1" s="1"/>
  <c r="V87" i="1" s="1"/>
  <c r="T74" i="1"/>
  <c r="U74" i="1" s="1"/>
  <c r="V74" i="1" s="1"/>
  <c r="T61" i="1"/>
  <c r="U61" i="1" s="1"/>
  <c r="V61" i="1" s="1"/>
  <c r="H60" i="1"/>
  <c r="H86" i="1"/>
  <c r="I86" i="1" s="1"/>
  <c r="J86" i="1" s="1"/>
  <c r="H79" i="1"/>
  <c r="I79" i="1" s="1"/>
  <c r="J79" i="1" s="1"/>
  <c r="T76" i="1"/>
  <c r="U76" i="1" s="1"/>
  <c r="V76" i="1" s="1"/>
  <c r="H69" i="1"/>
  <c r="I69" i="1" s="1"/>
  <c r="J69" i="1" s="1"/>
  <c r="H87" i="1"/>
  <c r="I87" i="1" s="1"/>
  <c r="J87" i="1" s="1"/>
  <c r="H74" i="1"/>
  <c r="I74" i="1" s="1"/>
  <c r="J74" i="1" s="1"/>
  <c r="T70" i="1"/>
  <c r="U70" i="1" s="1"/>
  <c r="V70" i="1" s="1"/>
  <c r="H61" i="1"/>
  <c r="I61" i="1" s="1"/>
  <c r="J61" i="1" s="1"/>
  <c r="T77" i="1"/>
  <c r="U77" i="1" s="1"/>
  <c r="V77" i="1" s="1"/>
  <c r="T62" i="1"/>
  <c r="U62" i="1" s="1"/>
  <c r="V62" i="1" s="1"/>
  <c r="H70" i="1"/>
  <c r="I70" i="1" s="1"/>
  <c r="J70" i="1" s="1"/>
  <c r="H67" i="1"/>
  <c r="I67" i="1" s="1"/>
  <c r="J67" i="1" s="1"/>
  <c r="T67" i="1"/>
  <c r="U67" i="1" s="1"/>
  <c r="V67" i="1" s="1"/>
  <c r="I34" i="1"/>
  <c r="J34" i="1" s="1"/>
  <c r="T22" i="1"/>
  <c r="U22" i="1" s="1"/>
  <c r="V22" i="1" s="1"/>
  <c r="T12" i="1"/>
  <c r="T28" i="1"/>
  <c r="U28" i="1" s="1"/>
  <c r="V28" i="1" s="1"/>
  <c r="T26" i="1"/>
  <c r="U26" i="1" s="1"/>
  <c r="V26" i="1" s="1"/>
  <c r="T39" i="1"/>
  <c r="U39" i="1" s="1"/>
  <c r="V39" i="1" s="1"/>
  <c r="T32" i="1"/>
  <c r="U32" i="1" s="1"/>
  <c r="V32" i="1" s="1"/>
  <c r="T21" i="1"/>
  <c r="U21" i="1" s="1"/>
  <c r="V21" i="1" s="1"/>
  <c r="T13" i="1"/>
  <c r="U13" i="1" s="1"/>
  <c r="V13" i="1" s="1"/>
  <c r="T38" i="1"/>
  <c r="U38" i="1" s="1"/>
  <c r="V38" i="1" s="1"/>
  <c r="T31" i="1"/>
  <c r="U31" i="1" s="1"/>
  <c r="V31" i="1" s="1"/>
  <c r="T23" i="1"/>
  <c r="U23" i="1" s="1"/>
  <c r="V23" i="1" s="1"/>
  <c r="T29" i="1"/>
  <c r="U29" i="1" s="1"/>
  <c r="V29" i="1" s="1"/>
  <c r="T14" i="1"/>
  <c r="U14" i="1" s="1"/>
  <c r="V14" i="1" s="1"/>
  <c r="T19" i="1"/>
  <c r="U19" i="1" s="1"/>
  <c r="V19" i="1" s="1"/>
  <c r="I25" i="2"/>
  <c r="J25" i="2" s="1"/>
  <c r="I26" i="3"/>
  <c r="J26" i="3" s="1"/>
  <c r="I35" i="3"/>
  <c r="J35" i="3" s="1"/>
  <c r="I11" i="2"/>
  <c r="J11" i="2" s="1"/>
  <c r="I24" i="1"/>
  <c r="J24" i="1" s="1"/>
  <c r="I25" i="1"/>
  <c r="J25" i="1" s="1"/>
  <c r="G13" i="1"/>
  <c r="H13" i="1" s="1"/>
  <c r="I13" i="1" s="1"/>
  <c r="J13" i="1" s="1"/>
  <c r="I25" i="3"/>
  <c r="J25" i="3" s="1"/>
  <c r="G40" i="2"/>
  <c r="H40" i="2" s="1"/>
  <c r="I40" i="2" s="1"/>
  <c r="J40" i="2" s="1"/>
  <c r="G17" i="2"/>
  <c r="I34" i="2"/>
  <c r="J34" i="2" s="1"/>
  <c r="I26" i="2"/>
  <c r="J26" i="2" s="1"/>
  <c r="G13" i="2"/>
  <c r="H13" i="2" s="1"/>
  <c r="I13" i="2" s="1"/>
  <c r="J13" i="2" s="1"/>
  <c r="I35" i="2"/>
  <c r="J35" i="2" s="1"/>
  <c r="G32" i="2"/>
  <c r="H32" i="2" s="1"/>
  <c r="I32" i="2" s="1"/>
  <c r="J32" i="2" s="1"/>
  <c r="G12" i="2"/>
  <c r="H12" i="2" s="1"/>
  <c r="I12" i="2" s="1"/>
  <c r="J12" i="2" s="1"/>
  <c r="G20" i="2"/>
  <c r="H20" i="2" s="1"/>
  <c r="I20" i="2" s="1"/>
  <c r="J20" i="2" s="1"/>
  <c r="I13" i="3"/>
  <c r="J13" i="3" s="1"/>
  <c r="I11" i="1"/>
  <c r="J11" i="1" s="1"/>
  <c r="I15" i="1"/>
  <c r="J15" i="1" s="1"/>
  <c r="G37" i="1"/>
  <c r="H37" i="1" s="1"/>
  <c r="I37" i="1" s="1"/>
  <c r="J37" i="1" s="1"/>
  <c r="G31" i="1"/>
  <c r="H31" i="1" s="1"/>
  <c r="I31" i="1" s="1"/>
  <c r="J31" i="1" s="1"/>
  <c r="E18" i="1"/>
  <c r="E27" i="1" s="1"/>
  <c r="H40" i="3"/>
  <c r="I11" i="3"/>
  <c r="J11" i="3" s="1"/>
  <c r="I20" i="3"/>
  <c r="J20" i="3" s="1"/>
  <c r="I15" i="3"/>
  <c r="J15" i="3" s="1"/>
  <c r="I29" i="3"/>
  <c r="J29" i="3" s="1"/>
  <c r="H22" i="3"/>
  <c r="I22" i="3" s="1"/>
  <c r="J22" i="3" s="1"/>
  <c r="H32" i="3"/>
  <c r="I32" i="3" s="1"/>
  <c r="J32" i="3" s="1"/>
  <c r="H12" i="3"/>
  <c r="I18" i="3"/>
  <c r="J18" i="3" s="1"/>
  <c r="H27" i="3"/>
  <c r="I27" i="3" s="1"/>
  <c r="J27" i="3" s="1"/>
  <c r="H33" i="3"/>
  <c r="I33" i="3" s="1"/>
  <c r="J33" i="3" s="1"/>
  <c r="H24" i="3"/>
  <c r="I24" i="3" s="1"/>
  <c r="J24" i="3" s="1"/>
  <c r="H38" i="3"/>
  <c r="I38" i="3" s="1"/>
  <c r="J38" i="3" s="1"/>
  <c r="G39" i="3"/>
  <c r="H39" i="3" s="1"/>
  <c r="I39" i="3" s="1"/>
  <c r="J39" i="3" s="1"/>
  <c r="E19" i="3"/>
  <c r="E28" i="3" s="1"/>
  <c r="H14" i="3"/>
  <c r="I14" i="3" s="1"/>
  <c r="J14" i="3" s="1"/>
  <c r="I21" i="3"/>
  <c r="J21" i="3" s="1"/>
  <c r="H30" i="3"/>
  <c r="I30" i="3" s="1"/>
  <c r="J30" i="3" s="1"/>
  <c r="I23" i="3"/>
  <c r="J23" i="3" s="1"/>
  <c r="H37" i="3"/>
  <c r="I37" i="3" s="1"/>
  <c r="J37" i="3" s="1"/>
  <c r="H36" i="3"/>
  <c r="I36" i="3" s="1"/>
  <c r="J36" i="3" s="1"/>
  <c r="I15" i="2"/>
  <c r="J15" i="2" s="1"/>
  <c r="G21" i="2"/>
  <c r="J21" i="2" s="1"/>
  <c r="G38" i="2"/>
  <c r="H38" i="2" s="1"/>
  <c r="I38" i="2" s="1"/>
  <c r="J38" i="2" s="1"/>
  <c r="G18" i="2"/>
  <c r="G24" i="2"/>
  <c r="H24" i="2" s="1"/>
  <c r="I24" i="2" s="1"/>
  <c r="J24" i="2" s="1"/>
  <c r="G29" i="2"/>
  <c r="H29" i="2" s="1"/>
  <c r="I29" i="2" s="1"/>
  <c r="J29" i="2" s="1"/>
  <c r="E19" i="2"/>
  <c r="G27" i="2"/>
  <c r="H27" i="2" s="1"/>
  <c r="I27" i="2" s="1"/>
  <c r="J27" i="2" s="1"/>
  <c r="G30" i="2"/>
  <c r="H30" i="2" s="1"/>
  <c r="I30" i="2" s="1"/>
  <c r="J30" i="2" s="1"/>
  <c r="G33" i="2"/>
  <c r="H33" i="2" s="1"/>
  <c r="I33" i="2" s="1"/>
  <c r="J33" i="2" s="1"/>
  <c r="G39" i="2"/>
  <c r="H39" i="2" s="1"/>
  <c r="I39" i="2" s="1"/>
  <c r="J39" i="2" s="1"/>
  <c r="G37" i="2"/>
  <c r="H37" i="2" s="1"/>
  <c r="I37" i="2" s="1"/>
  <c r="J37" i="2" s="1"/>
  <c r="G23" i="2"/>
  <c r="H23" i="2" s="1"/>
  <c r="I23" i="2" s="1"/>
  <c r="J23" i="2" s="1"/>
  <c r="G14" i="2"/>
  <c r="H14" i="2" s="1"/>
  <c r="I14" i="2" s="1"/>
  <c r="J14" i="2" s="1"/>
  <c r="G22" i="2"/>
  <c r="H22" i="2" s="1"/>
  <c r="I22" i="2" s="1"/>
  <c r="J22" i="2" s="1"/>
  <c r="G36" i="2"/>
  <c r="H36" i="2" s="1"/>
  <c r="I36" i="2" s="1"/>
  <c r="J36" i="2" s="1"/>
  <c r="G32" i="1"/>
  <c r="H32" i="1" s="1"/>
  <c r="I32" i="1" s="1"/>
  <c r="J32" i="1" s="1"/>
  <c r="G22" i="1"/>
  <c r="H22" i="1" s="1"/>
  <c r="I22" i="1" s="1"/>
  <c r="J22" i="1" s="1"/>
  <c r="G28" i="1"/>
  <c r="H28" i="1" s="1"/>
  <c r="I28" i="1" s="1"/>
  <c r="J28" i="1" s="1"/>
  <c r="G35" i="1"/>
  <c r="H35" i="1" s="1"/>
  <c r="I35" i="1" s="1"/>
  <c r="J35" i="1" s="1"/>
  <c r="G19" i="1"/>
  <c r="H19" i="1" s="1"/>
  <c r="I19" i="1" s="1"/>
  <c r="J19" i="1" s="1"/>
  <c r="G36" i="1"/>
  <c r="H36" i="1" s="1"/>
  <c r="I36" i="1" s="1"/>
  <c r="J36" i="1" s="1"/>
  <c r="G29" i="1"/>
  <c r="H29" i="1" s="1"/>
  <c r="I29" i="1" s="1"/>
  <c r="J29" i="1" s="1"/>
  <c r="G23" i="1"/>
  <c r="H23" i="1" s="1"/>
  <c r="I23" i="1" s="1"/>
  <c r="J23" i="1" s="1"/>
  <c r="G39" i="1"/>
  <c r="H39" i="1" s="1"/>
  <c r="I39" i="1" s="1"/>
  <c r="J39" i="1" s="1"/>
  <c r="G12" i="1"/>
  <c r="H12" i="1" s="1"/>
  <c r="G38" i="1"/>
  <c r="H38" i="1" s="1"/>
  <c r="I38" i="1" s="1"/>
  <c r="J38" i="1" s="1"/>
  <c r="G14" i="1"/>
  <c r="H14" i="1" s="1"/>
  <c r="I14" i="1" s="1"/>
  <c r="J14" i="1" s="1"/>
  <c r="G20" i="1"/>
  <c r="I20" i="1" s="1"/>
  <c r="G26" i="1"/>
  <c r="H26" i="1" s="1"/>
  <c r="I26" i="1" s="1"/>
  <c r="J26" i="1" s="1"/>
  <c r="G17" i="1"/>
  <c r="I17" i="1" s="1"/>
  <c r="G21" i="1"/>
  <c r="H21" i="1" s="1"/>
  <c r="I21" i="1" s="1"/>
  <c r="J21" i="1" s="1"/>
  <c r="U60" i="1" l="1"/>
  <c r="I60" i="1"/>
  <c r="U12" i="1"/>
  <c r="H18" i="2"/>
  <c r="I18" i="2" s="1"/>
  <c r="J18" i="2" s="1"/>
  <c r="I40" i="3"/>
  <c r="J17" i="1"/>
  <c r="J20" i="1"/>
  <c r="I12" i="3"/>
  <c r="J12" i="3" s="1"/>
  <c r="E31" i="3"/>
  <c r="E42" i="3" s="1"/>
  <c r="E28" i="2"/>
  <c r="E30" i="1"/>
  <c r="I12" i="1"/>
  <c r="J60" i="1" l="1"/>
  <c r="V60" i="1"/>
  <c r="V12" i="1"/>
  <c r="J40" i="3"/>
  <c r="E31" i="2"/>
  <c r="J12" i="1"/>
  <c r="E41" i="1"/>
  <c r="E43" i="3" l="1"/>
  <c r="E42" i="2"/>
  <c r="E43" i="1"/>
  <c r="E42" i="1"/>
  <c r="E45" i="3" l="1"/>
  <c r="E43" i="2"/>
  <c r="E44" i="2"/>
  <c r="E44" i="1"/>
  <c r="E46" i="1" s="1"/>
  <c r="E45" i="2" l="1"/>
  <c r="F10" i="8" l="1"/>
  <c r="N10" i="8" s="1"/>
  <c r="F6" i="8"/>
  <c r="G9" i="8"/>
  <c r="O9" i="8" s="1"/>
  <c r="H7" i="8"/>
  <c r="P7" i="8" s="1"/>
  <c r="G6" i="8"/>
  <c r="O6" i="8" s="1"/>
  <c r="H6" i="8"/>
  <c r="P6" i="8" s="1"/>
  <c r="F17" i="3" l="1"/>
  <c r="F64" i="3" s="1"/>
  <c r="F17" i="2"/>
  <c r="H17" i="2" s="1"/>
  <c r="I17" i="2" s="1"/>
  <c r="J17" i="2" s="1"/>
  <c r="H17" i="3"/>
  <c r="I17" i="3" s="1"/>
  <c r="J17" i="3" s="1"/>
  <c r="F158" i="3"/>
  <c r="H158" i="3" s="1"/>
  <c r="I158" i="3" s="1"/>
  <c r="J158" i="3" s="1"/>
  <c r="I6" i="8"/>
  <c r="N6" i="8"/>
  <c r="F7" i="8"/>
  <c r="N7" i="8" s="1"/>
  <c r="G8" i="8"/>
  <c r="O8" i="8" s="1"/>
  <c r="F8" i="8"/>
  <c r="N8" i="8" s="1"/>
  <c r="F5" i="8"/>
  <c r="N5" i="8" s="1"/>
  <c r="H10" i="8"/>
  <c r="P10" i="8" s="1"/>
  <c r="H8" i="8"/>
  <c r="P8" i="8" s="1"/>
  <c r="H9" i="8"/>
  <c r="P9" i="8" s="1"/>
  <c r="G7" i="8"/>
  <c r="O7" i="8" s="1"/>
  <c r="G5" i="8"/>
  <c r="F9" i="8"/>
  <c r="N9" i="8" s="1"/>
  <c r="G10" i="8"/>
  <c r="H5" i="8"/>
  <c r="F64" i="2" l="1"/>
  <c r="H64" i="2" s="1"/>
  <c r="I64" i="2" s="1"/>
  <c r="J64" i="2" s="1"/>
  <c r="F111" i="3"/>
  <c r="H111" i="3" s="1"/>
  <c r="I111" i="3" s="1"/>
  <c r="J111" i="3" s="1"/>
  <c r="F16" i="1"/>
  <c r="H16" i="1" s="1"/>
  <c r="F111" i="2"/>
  <c r="H111" i="2" s="1"/>
  <c r="I111" i="2" s="1"/>
  <c r="J111" i="2" s="1"/>
  <c r="F16" i="2"/>
  <c r="H16" i="2" s="1"/>
  <c r="I16" i="2" s="1"/>
  <c r="F16" i="3"/>
  <c r="F63" i="3" s="1"/>
  <c r="F157" i="3"/>
  <c r="H157" i="3" s="1"/>
  <c r="F205" i="3"/>
  <c r="H205" i="3" s="1"/>
  <c r="I205" i="3" s="1"/>
  <c r="J205" i="3" s="1"/>
  <c r="H64" i="3"/>
  <c r="I64" i="3" s="1"/>
  <c r="J64" i="3" s="1"/>
  <c r="I10" i="8"/>
  <c r="O10" i="8"/>
  <c r="I8" i="8"/>
  <c r="I9" i="8"/>
  <c r="I5" i="8"/>
  <c r="I7" i="8"/>
  <c r="I11" i="8" l="1"/>
  <c r="F64" i="1"/>
  <c r="H64" i="1" s="1"/>
  <c r="F110" i="2"/>
  <c r="H110" i="2" s="1"/>
  <c r="I110" i="2" s="1"/>
  <c r="F63" i="2"/>
  <c r="H63" i="2" s="1"/>
  <c r="I63" i="2" s="1"/>
  <c r="H16" i="3"/>
  <c r="H19" i="3" s="1"/>
  <c r="H28" i="3" s="1"/>
  <c r="H31" i="3" s="1"/>
  <c r="H42" i="3" s="1"/>
  <c r="H43" i="3" s="1"/>
  <c r="H45" i="3" s="1"/>
  <c r="H19" i="2"/>
  <c r="H28" i="2" s="1"/>
  <c r="H31" i="2" s="1"/>
  <c r="H42" i="2" s="1"/>
  <c r="H44" i="2" s="1"/>
  <c r="H18" i="1"/>
  <c r="H27" i="1" s="1"/>
  <c r="H30" i="1" s="1"/>
  <c r="H41" i="1" s="1"/>
  <c r="H43" i="1" s="1"/>
  <c r="I16" i="1"/>
  <c r="U64" i="1"/>
  <c r="F110" i="3"/>
  <c r="H110" i="3" s="1"/>
  <c r="I110" i="3" s="1"/>
  <c r="I16" i="3"/>
  <c r="I19" i="3" s="1"/>
  <c r="I157" i="3"/>
  <c r="H160" i="3"/>
  <c r="H169" i="3" s="1"/>
  <c r="H172" i="3" s="1"/>
  <c r="H183" i="3" s="1"/>
  <c r="H184" i="3" s="1"/>
  <c r="H186" i="3" s="1"/>
  <c r="F204" i="3"/>
  <c r="H204" i="3" s="1"/>
  <c r="H63" i="3"/>
  <c r="H113" i="2"/>
  <c r="H122" i="2" s="1"/>
  <c r="H125" i="2" s="1"/>
  <c r="H136" i="2" s="1"/>
  <c r="I64" i="1"/>
  <c r="H66" i="1"/>
  <c r="H75" i="1" s="1"/>
  <c r="H78" i="1" s="1"/>
  <c r="H89" i="1" s="1"/>
  <c r="U16" i="1"/>
  <c r="T18" i="1"/>
  <c r="T27" i="1" s="1"/>
  <c r="T30" i="1" s="1"/>
  <c r="T41" i="1" s="1"/>
  <c r="J16" i="2"/>
  <c r="I19" i="2"/>
  <c r="J16" i="1"/>
  <c r="I18" i="1"/>
  <c r="H66" i="2" l="1"/>
  <c r="H75" i="2" s="1"/>
  <c r="H78" i="2" s="1"/>
  <c r="H89" i="2" s="1"/>
  <c r="H91" i="2" s="1"/>
  <c r="T66" i="1"/>
  <c r="T75" i="1" s="1"/>
  <c r="T78" i="1" s="1"/>
  <c r="T89" i="1" s="1"/>
  <c r="T91" i="1" s="1"/>
  <c r="H113" i="3"/>
  <c r="H122" i="3" s="1"/>
  <c r="H125" i="3" s="1"/>
  <c r="H136" i="3" s="1"/>
  <c r="H137" i="3" s="1"/>
  <c r="H139" i="3" s="1"/>
  <c r="J16" i="3"/>
  <c r="H43" i="2"/>
  <c r="H45" i="2" s="1"/>
  <c r="H42" i="1"/>
  <c r="V16" i="1"/>
  <c r="U18" i="1"/>
  <c r="J110" i="2"/>
  <c r="I113" i="2"/>
  <c r="V64" i="1"/>
  <c r="U66" i="1"/>
  <c r="J63" i="2"/>
  <c r="I66" i="2"/>
  <c r="H137" i="2"/>
  <c r="H138" i="2"/>
  <c r="I63" i="3"/>
  <c r="H66" i="3"/>
  <c r="H75" i="3" s="1"/>
  <c r="H78" i="3" s="1"/>
  <c r="H89" i="3" s="1"/>
  <c r="H90" i="3" s="1"/>
  <c r="H92" i="3" s="1"/>
  <c r="T42" i="1"/>
  <c r="T43" i="1"/>
  <c r="J110" i="3"/>
  <c r="I113" i="3"/>
  <c r="I204" i="3"/>
  <c r="H207" i="3"/>
  <c r="H216" i="3" s="1"/>
  <c r="H219" i="3" s="1"/>
  <c r="H230" i="3" s="1"/>
  <c r="H231" i="3" s="1"/>
  <c r="H233" i="3" s="1"/>
  <c r="H91" i="1"/>
  <c r="H90" i="1"/>
  <c r="J64" i="1"/>
  <c r="I66" i="1"/>
  <c r="J157" i="3"/>
  <c r="I160" i="3"/>
  <c r="H44" i="1"/>
  <c r="H46" i="1" s="1"/>
  <c r="I27" i="1"/>
  <c r="J18" i="1"/>
  <c r="I28" i="3"/>
  <c r="J19" i="3"/>
  <c r="I28" i="2"/>
  <c r="J19" i="2"/>
  <c r="H90" i="2" l="1"/>
  <c r="T90" i="1"/>
  <c r="H92" i="1"/>
  <c r="H94" i="1" s="1"/>
  <c r="H139" i="2"/>
  <c r="T44" i="1"/>
  <c r="T46" i="1" s="1"/>
  <c r="H92" i="2"/>
  <c r="I169" i="3"/>
  <c r="J160" i="3"/>
  <c r="J204" i="3"/>
  <c r="I207" i="3"/>
  <c r="I122" i="3"/>
  <c r="J113" i="3"/>
  <c r="T92" i="1"/>
  <c r="T94" i="1" s="1"/>
  <c r="J63" i="3"/>
  <c r="I66" i="3"/>
  <c r="I75" i="2"/>
  <c r="J66" i="2"/>
  <c r="J113" i="2"/>
  <c r="I122" i="2"/>
  <c r="J66" i="1"/>
  <c r="I75" i="1"/>
  <c r="V66" i="1"/>
  <c r="U75" i="1"/>
  <c r="V18" i="1"/>
  <c r="U27" i="1"/>
  <c r="J27" i="1"/>
  <c r="I30" i="1"/>
  <c r="I31" i="2"/>
  <c r="J28" i="2"/>
  <c r="I31" i="3"/>
  <c r="J28" i="3"/>
  <c r="I125" i="3" l="1"/>
  <c r="J122" i="3"/>
  <c r="J75" i="1"/>
  <c r="I78" i="1"/>
  <c r="I216" i="3"/>
  <c r="J207" i="3"/>
  <c r="I78" i="2"/>
  <c r="J75" i="2"/>
  <c r="I125" i="2"/>
  <c r="J122" i="2"/>
  <c r="U30" i="1"/>
  <c r="V27" i="1"/>
  <c r="V75" i="1"/>
  <c r="U78" i="1"/>
  <c r="I75" i="3"/>
  <c r="J66" i="3"/>
  <c r="I172" i="3"/>
  <c r="J169" i="3"/>
  <c r="I42" i="2"/>
  <c r="J31" i="2"/>
  <c r="I41" i="1"/>
  <c r="J30" i="1"/>
  <c r="I42" i="3"/>
  <c r="J31" i="3"/>
  <c r="I219" i="3" l="1"/>
  <c r="J216" i="3"/>
  <c r="I89" i="2"/>
  <c r="J78" i="2"/>
  <c r="I89" i="1"/>
  <c r="J78" i="1"/>
  <c r="V78" i="1"/>
  <c r="U89" i="1"/>
  <c r="U41" i="1"/>
  <c r="V30" i="1"/>
  <c r="I78" i="3"/>
  <c r="J75" i="3"/>
  <c r="I183" i="3"/>
  <c r="J172" i="3"/>
  <c r="J125" i="2"/>
  <c r="I136" i="2"/>
  <c r="I136" i="3"/>
  <c r="J125" i="3"/>
  <c r="I43" i="1"/>
  <c r="I42" i="1"/>
  <c r="J42" i="1" s="1"/>
  <c r="J41" i="1"/>
  <c r="I43" i="3"/>
  <c r="J42" i="3"/>
  <c r="I44" i="2"/>
  <c r="I43" i="2"/>
  <c r="J42" i="2"/>
  <c r="U90" i="1" l="1"/>
  <c r="V90" i="1" s="1"/>
  <c r="U91" i="1"/>
  <c r="V89" i="1"/>
  <c r="I90" i="2"/>
  <c r="J90" i="2" s="1"/>
  <c r="J89" i="2"/>
  <c r="I91" i="2"/>
  <c r="I92" i="2"/>
  <c r="D9" i="9" s="1"/>
  <c r="I138" i="2"/>
  <c r="I137" i="2"/>
  <c r="J137" i="2" s="1"/>
  <c r="J136" i="2"/>
  <c r="I91" i="1"/>
  <c r="I90" i="1"/>
  <c r="J90" i="1" s="1"/>
  <c r="J89" i="1"/>
  <c r="I184" i="3"/>
  <c r="J183" i="3"/>
  <c r="J78" i="3"/>
  <c r="I89" i="3"/>
  <c r="I137" i="3"/>
  <c r="J136" i="3"/>
  <c r="U42" i="1"/>
  <c r="V42" i="1" s="1"/>
  <c r="U43" i="1"/>
  <c r="V41" i="1"/>
  <c r="I230" i="3"/>
  <c r="J219" i="3"/>
  <c r="I44" i="1"/>
  <c r="I45" i="2"/>
  <c r="D8" i="9" s="1"/>
  <c r="J43" i="2"/>
  <c r="I45" i="3"/>
  <c r="D11" i="9" s="1"/>
  <c r="J43" i="3"/>
  <c r="I92" i="1" l="1"/>
  <c r="J92" i="1" s="1"/>
  <c r="J94" i="1" s="1"/>
  <c r="E5" i="9" s="1"/>
  <c r="I139" i="2"/>
  <c r="D10" i="9" s="1"/>
  <c r="I46" i="1"/>
  <c r="D4" i="9"/>
  <c r="U92" i="1"/>
  <c r="U94" i="1" s="1"/>
  <c r="D7" i="9" s="1"/>
  <c r="J89" i="3"/>
  <c r="I90" i="3"/>
  <c r="J90" i="3" s="1"/>
  <c r="I231" i="3"/>
  <c r="J231" i="3" s="1"/>
  <c r="J230" i="3"/>
  <c r="I139" i="3"/>
  <c r="D13" i="9" s="1"/>
  <c r="J137" i="3"/>
  <c r="J92" i="2"/>
  <c r="E9" i="9" s="1"/>
  <c r="J44" i="1"/>
  <c r="E4" i="9" s="1"/>
  <c r="U44" i="1"/>
  <c r="I186" i="3"/>
  <c r="D14" i="9" s="1"/>
  <c r="J184" i="3"/>
  <c r="J45" i="3"/>
  <c r="E11" i="9" s="1"/>
  <c r="J45" i="2"/>
  <c r="E8" i="9" s="1"/>
  <c r="J139" i="2" l="1"/>
  <c r="E10" i="9" s="1"/>
  <c r="I94" i="1"/>
  <c r="D5" i="9" s="1"/>
  <c r="V92" i="1"/>
  <c r="V94" i="1" s="1"/>
  <c r="E7" i="9" s="1"/>
  <c r="I92" i="3"/>
  <c r="D12" i="9" s="1"/>
  <c r="J46" i="1"/>
  <c r="I233" i="3"/>
  <c r="V44" i="1"/>
  <c r="V46" i="1" s="1"/>
  <c r="E6" i="9" s="1"/>
  <c r="U46" i="1"/>
  <c r="D6" i="9" s="1"/>
  <c r="J139" i="3"/>
  <c r="E13" i="9" s="1"/>
  <c r="J186" i="3"/>
  <c r="E14" i="9" s="1"/>
  <c r="J92" i="3" l="1"/>
  <c r="E12" i="9" s="1"/>
  <c r="J2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  <author>Andrew Belsito</author>
  </authors>
  <commentList>
    <comment ref="C15" authorId="0" shapeId="0" xr:uid="{C8162BAB-17CF-4363-8A57-92CC2569294F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</t>
        </r>
      </text>
    </comment>
    <comment ref="O15" authorId="0" shapeId="0" xr:uid="{234A0909-887D-4CE3-BD87-FA084C8E5238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</t>
        </r>
      </text>
    </comment>
    <comment ref="A17" authorId="0" shapeId="0" xr:uid="{AD77D01F-6B21-434B-93CC-E4C1C8C87024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line can be removed, no more volumetric rate rider in residential</t>
        </r>
      </text>
    </comment>
    <comment ref="M17" authorId="0" shapeId="0" xr:uid="{80DA4CFD-7DB1-4ECA-A7BC-523EAC66B968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line can be removed, no more volumetric rate rider in residential</t>
        </r>
      </text>
    </comment>
    <comment ref="C26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Embedded Gen
</t>
        </r>
      </text>
    </comment>
    <comment ref="O26" authorId="1" shapeId="0" xr:uid="{626FB570-201E-4F5C-A647-3239E9F0127A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Embedded Gen
</t>
        </r>
      </text>
    </comment>
    <comment ref="C63" authorId="0" shapeId="0" xr:uid="{3C43E11A-64B3-47A9-96CB-AE1F017C86B9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</t>
        </r>
      </text>
    </comment>
    <comment ref="O63" authorId="0" shapeId="0" xr:uid="{2DB76627-AEA4-46A8-8CA2-D9A43BCC2643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</t>
        </r>
      </text>
    </comment>
    <comment ref="A65" authorId="0" shapeId="0" xr:uid="{E3D88727-704E-4BC4-B1E8-78D659D3DD42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line can be removed, no more volumetric rate rider in residential</t>
        </r>
      </text>
    </comment>
    <comment ref="M65" authorId="0" shapeId="0" xr:uid="{05BC41C3-F18C-4105-BF7C-E43B1684466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line can be removed, no more volumetric rate rider in residential</t>
        </r>
      </text>
    </comment>
    <comment ref="C74" authorId="1" shapeId="0" xr:uid="{7E7D14C7-89DC-4AEB-8C2B-EA83B236BB2E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Embedded Gen
</t>
        </r>
      </text>
    </comment>
    <comment ref="O74" authorId="1" shapeId="0" xr:uid="{01858969-CFD1-4AA7-B0AB-E3D1C4399532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Embedded Gen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  <author>Andrew Belsito</author>
  </authors>
  <commentList>
    <comment ref="F17" authorId="0" shapeId="0" xr:uid="{45A21C34-2969-44F4-9A6D-D16C00BB088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smart grid volumetric rate rider</t>
        </r>
      </text>
    </comment>
    <comment ref="C18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LRAMVA
Group 2 Variance Accts
</t>
        </r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>updated this number to reflect substtion 16 volumetric rate rider</t>
        </r>
      </text>
    </comment>
    <comment ref="F18" authorId="0" shapeId="0" xr:uid="{3ADA8632-D574-4895-9D93-A41D90E0E373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 volumetric rate rider
</t>
        </r>
      </text>
    </comment>
    <comment ref="C21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F64" authorId="0" shapeId="0" xr:uid="{D905A326-EEF5-4F67-BAAD-8A4562F8363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smart grid volumetric rate rider</t>
        </r>
      </text>
    </comment>
    <comment ref="C65" authorId="1" shapeId="0" xr:uid="{CA9817D3-4559-4040-AAB3-3EDFF96DDBAE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LRAMVA
Group 2 Variance Accts
</t>
        </r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>updated this number to reflect substtion 16 volumetric rate rider</t>
        </r>
      </text>
    </comment>
    <comment ref="F65" authorId="0" shapeId="0" xr:uid="{D9A57055-CF24-4D2F-866A-9AA3C41589BD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 volumetric rate rider
</t>
        </r>
      </text>
    </comment>
    <comment ref="C68" authorId="1" shapeId="0" xr:uid="{4247FB70-28DA-4520-A2B0-49DFABCD85CA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F111" authorId="0" shapeId="0" xr:uid="{DB70CEC4-D235-4E0B-AC7F-69E947FD9F4B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smart grid volumetric rate rider</t>
        </r>
      </text>
    </comment>
    <comment ref="C112" authorId="1" shapeId="0" xr:uid="{1AC1491A-43E9-47EE-AED2-407BB54FD024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LRAMVA
Group 2 Variance Accts
</t>
        </r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>updated this number to reflect substtion 16 volumetric rate rider</t>
        </r>
      </text>
    </comment>
    <comment ref="F112" authorId="0" shapeId="0" xr:uid="{0004C441-306C-4D73-9754-0F3252247EAC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substation 16 volumetric rate rider
</t>
        </r>
      </text>
    </comment>
    <comment ref="C115" authorId="1" shapeId="0" xr:uid="{6974B53A-4944-4D4B-B661-7EFAB8F6CFD9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  <author>Andrew Belsito</author>
  </authors>
  <commentList>
    <comment ref="C15" authorId="0" shapeId="0" xr:uid="{ED309424-6BDD-4916-B118-1DD7F5E1B41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</t>
        </r>
      </text>
    </comment>
    <comment ref="C18" authorId="0" shapeId="0" xr:uid="{5C8E1765-C2D9-4991-A4F6-4011136BE5DE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
</t>
        </r>
      </text>
    </comment>
    <comment ref="C21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C23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Tyler Kasubeck: 
</t>
        </r>
        <r>
          <rPr>
            <sz val="9"/>
            <color indexed="81"/>
            <rFont val="Tahoma"/>
            <family val="2"/>
          </rPr>
          <t>fell off april 30, 2020</t>
        </r>
      </text>
    </comment>
    <comment ref="C62" authorId="0" shapeId="0" xr:uid="{832BA058-BC75-41D7-A63C-FE5CE47F48C6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</t>
        </r>
      </text>
    </comment>
    <comment ref="C65" authorId="0" shapeId="0" xr:uid="{459B9B17-4409-40BE-8FB5-F7A96D7E23F8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
</t>
        </r>
      </text>
    </comment>
    <comment ref="C68" authorId="1" shapeId="0" xr:uid="{B86F1E42-DD62-494A-A4B2-6EEEDAEBCB00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C70" authorId="1" shapeId="0" xr:uid="{F5623F85-C10F-4EFC-BDE6-204D2F8A9B72}">
      <text>
        <r>
          <rPr>
            <b/>
            <sz val="9"/>
            <color indexed="81"/>
            <rFont val="Tahoma"/>
            <family val="2"/>
          </rPr>
          <t xml:space="preserve">Tyler Kasubeck: 
</t>
        </r>
        <r>
          <rPr>
            <sz val="9"/>
            <color indexed="81"/>
            <rFont val="Tahoma"/>
            <family val="2"/>
          </rPr>
          <t>fell off april 30, 2020</t>
        </r>
      </text>
    </comment>
    <comment ref="C109" authorId="0" shapeId="0" xr:uid="{94E49C01-D510-4032-B558-AF9E48661CF4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</t>
        </r>
      </text>
    </comment>
    <comment ref="C112" authorId="0" shapeId="0" xr:uid="{F5C70803-7EA3-47A5-8431-CA03DEFF338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
</t>
        </r>
      </text>
    </comment>
    <comment ref="C115" authorId="1" shapeId="0" xr:uid="{81697BEB-C84D-496B-967A-9992CA829442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C117" authorId="1" shapeId="0" xr:uid="{B8BB50B2-4E39-448A-BA21-91DC0A42EEFC}">
      <text>
        <r>
          <rPr>
            <b/>
            <sz val="9"/>
            <color indexed="81"/>
            <rFont val="Tahoma"/>
            <family val="2"/>
          </rPr>
          <t xml:space="preserve">Tyler Kasubeck: 
</t>
        </r>
        <r>
          <rPr>
            <sz val="9"/>
            <color indexed="81"/>
            <rFont val="Tahoma"/>
            <family val="2"/>
          </rPr>
          <t>fell off april 30, 2020</t>
        </r>
      </text>
    </comment>
    <comment ref="C156" authorId="0" shapeId="0" xr:uid="{B4ED707E-2211-4DD0-B3D7-413F5053F245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</t>
        </r>
      </text>
    </comment>
    <comment ref="C159" authorId="0" shapeId="0" xr:uid="{F89DCB2E-DC4C-4B98-AD3B-07F1742C035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
</t>
        </r>
      </text>
    </comment>
    <comment ref="C162" authorId="1" shapeId="0" xr:uid="{B7906F33-96D3-4EC5-8B0B-C376D56DF94C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C164" authorId="1" shapeId="0" xr:uid="{1B794D85-C409-41B1-8DEC-18BB526F1D1D}">
      <text>
        <r>
          <rPr>
            <b/>
            <sz val="9"/>
            <color indexed="81"/>
            <rFont val="Tahoma"/>
            <family val="2"/>
          </rPr>
          <t xml:space="preserve">Tyler Kasubeck: 
</t>
        </r>
        <r>
          <rPr>
            <sz val="9"/>
            <color indexed="81"/>
            <rFont val="Tahoma"/>
            <family val="2"/>
          </rPr>
          <t>fell off april 30, 2020</t>
        </r>
      </text>
    </comment>
    <comment ref="C203" authorId="0" shapeId="0" xr:uid="{FF52B0C3-3CC2-4058-AE40-9DCF38EF056F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</t>
        </r>
      </text>
    </comment>
    <comment ref="C206" authorId="0" shapeId="0" xr:uid="{E57695A0-48C7-47EA-A765-1103DC089721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sub 16 rate rider
</t>
        </r>
      </text>
    </comment>
    <comment ref="C209" authorId="1" shapeId="0" xr:uid="{13E43FCF-653F-4CCF-BF9A-6951FD73B46B}">
      <text>
        <r>
          <rPr>
            <b/>
            <sz val="9"/>
            <color indexed="81"/>
            <rFont val="Tahoma"/>
            <family val="2"/>
          </rPr>
          <t xml:space="preserve">Tyler Kasubeck:
</t>
        </r>
        <r>
          <rPr>
            <sz val="9"/>
            <color indexed="81"/>
            <rFont val="Tahoma"/>
            <family val="2"/>
          </rPr>
          <t xml:space="preserve">fell off april 30, 2020
</t>
        </r>
      </text>
    </comment>
    <comment ref="C211" authorId="1" shapeId="0" xr:uid="{09C0DD89-5F35-4995-9DA0-AC02B0207C37}">
      <text>
        <r>
          <rPr>
            <b/>
            <sz val="9"/>
            <color indexed="81"/>
            <rFont val="Tahoma"/>
            <family val="2"/>
          </rPr>
          <t xml:space="preserve">Tyler Kasubeck: 
</t>
        </r>
        <r>
          <rPr>
            <sz val="9"/>
            <color indexed="81"/>
            <rFont val="Tahoma"/>
            <family val="2"/>
          </rPr>
          <t>fell off april 30, 2020</t>
        </r>
      </text>
    </comment>
  </commentList>
</comments>
</file>

<file path=xl/sharedStrings.xml><?xml version="1.0" encoding="utf-8"?>
<sst xmlns="http://schemas.openxmlformats.org/spreadsheetml/2006/main" count="808" uniqueCount="105">
  <si>
    <t>Customer Class:</t>
  </si>
  <si>
    <t>RESIDENTIAL SERVICE CLASSIFICATION</t>
  </si>
  <si>
    <t/>
  </si>
  <si>
    <t>RPP / Non-RPP:</t>
  </si>
  <si>
    <t>RPP</t>
  </si>
  <si>
    <t>Consumption</t>
  </si>
  <si>
    <t>kWh</t>
  </si>
  <si>
    <t>Demand</t>
  </si>
  <si>
    <t>kW</t>
  </si>
  <si>
    <t>Current Loss Factor</t>
  </si>
  <si>
    <t>Proposed/Approved Loss Factor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</si>
  <si>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</si>
  <si>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</si>
  <si>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</si>
  <si>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</si>
  <si>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</si>
  <si>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</si>
  <si>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</si>
  <si>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</si>
  <si>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</si>
  <si>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</si>
  <si>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</si>
  <si>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</si>
  <si>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</si>
  <si>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</si>
  <si>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</si>
  <si>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</si>
  <si>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</si>
  <si>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</si>
  <si>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</si>
  <si>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</si>
  <si>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</si>
  <si>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</si>
  <si>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</si>
  <si>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</si>
  <si>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</si>
  <si>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</si>
  <si>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</si>
  <si>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</si>
  <si>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</si>
  <si>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</si>
  <si>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</si>
  <si>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</si>
  <si>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</si>
  <si>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</si>
  <si>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</si>
  <si>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</si>
  <si>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</si>
  <si>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Total Bill on TOU</t>
  </si>
  <si>
    <t>Consumption Decrease %</t>
  </si>
  <si>
    <t>Proposed consumption</t>
  </si>
  <si>
    <t>GENERAL SERVICE LESS THAN 50 KW SERVICE CLASSIFICATION</t>
  </si>
  <si>
    <t>GENERAL SERVICE 50 TO 4,999 KW SERVICE CLASSIFICATION</t>
  </si>
  <si>
    <t>Non-RPP (Other)</t>
  </si>
  <si>
    <t>Proposed - ICM</t>
  </si>
  <si>
    <t>Calculation of Incremental Rate Rider</t>
  </si>
  <si>
    <t>Rate Class</t>
  </si>
  <si>
    <t>Service Charge % Revenue</t>
  </si>
  <si>
    <t>Service Charge Revenue</t>
  </si>
  <si>
    <t>Distribution Volumetric Rate % Revenue kW</t>
  </si>
  <si>
    <t>Distribution Volumetric Rate % Revenue kWh</t>
  </si>
  <si>
    <t>Total Revenue by Rate Class</t>
  </si>
  <si>
    <t>Billed kWh</t>
  </si>
  <si>
    <t>Billed kW</t>
  </si>
  <si>
    <t>Service Charge Rate Rider</t>
  </si>
  <si>
    <t>Distribution Volumetric Rate kWh Rate Rider</t>
  </si>
  <si>
    <t>Distribution Volumetric Rate kW Rate Rider</t>
  </si>
  <si>
    <t>Distribution Volumetric Rate Revenue kWh</t>
  </si>
  <si>
    <t>Distribution Volumetric Rate Revenue kW</t>
  </si>
  <si>
    <t>Billed Customers or Connections</t>
  </si>
  <si>
    <t>RESIDENTIAL</t>
  </si>
  <si>
    <t>GENERAL SERVICE LESS THAN 50 kW</t>
  </si>
  <si>
    <t>GENERAL SERVICE 50 TO 4,999 KW</t>
  </si>
  <si>
    <t>STREET LIGHTING</t>
  </si>
  <si>
    <t>UNMETERED SCATTERED LOAD</t>
  </si>
  <si>
    <t>Total</t>
  </si>
  <si>
    <t>Incremental Revenue</t>
  </si>
  <si>
    <t>Incremental O&amp;M</t>
  </si>
  <si>
    <t>ICM - Fixed</t>
  </si>
  <si>
    <t>ICM - Variable</t>
  </si>
  <si>
    <t>ICM Fixed</t>
  </si>
  <si>
    <t>ICM Variable</t>
  </si>
  <si>
    <t>Class</t>
  </si>
  <si>
    <t>Total Bill Increase/Decrease</t>
  </si>
  <si>
    <t>Total Bill Impact %</t>
  </si>
  <si>
    <t>Residential</t>
  </si>
  <si>
    <t>GS&lt;50</t>
  </si>
  <si>
    <t>GS&gt;50</t>
  </si>
  <si>
    <t>Consumption (kWh)</t>
  </si>
  <si>
    <t>Consumption (kW)</t>
  </si>
  <si>
    <t>SENTNEL LIGHTING</t>
  </si>
  <si>
    <t>kwh</t>
  </si>
  <si>
    <t>kw</t>
  </si>
  <si>
    <t>Proposed - SSG ICM</t>
  </si>
  <si>
    <t>31.8% Rebate</t>
  </si>
  <si>
    <t>PUC 2020 IRM Model - Pending Decision</t>
  </si>
  <si>
    <t>With Consumption Savings</t>
  </si>
  <si>
    <t>Without Consumption Savings</t>
  </si>
  <si>
    <t>IPI Adjustment</t>
  </si>
  <si>
    <t>Total Bill Increase/ Decrease</t>
  </si>
  <si>
    <t>Distribution Rates as of November 1, 2020</t>
  </si>
  <si>
    <t>Fixed</t>
  </si>
  <si>
    <t>Variable</t>
  </si>
  <si>
    <t>PUC 2021 IRM Model - Pending Decision</t>
  </si>
  <si>
    <t>Distribution Rates if 2021 IRM approved (effective May 1,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</si>
</sst>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0.0000"/>
    <numFmt numFmtId="169" formatCode="_-&quot;$&quot;* #,##0.0000_-;\-&quot;$&quot;* #,##0.0000_-;_-&quot;$&quot;* &quot;-&quot;??_-;_-@_-"/>
    <numFmt numFmtId="170" formatCode="_(* #,##0_);_(* \(#,##0\);_(* &quot;-&quot;??_);_(@_)"/>
    <numFmt numFmtId="171" formatCode="&quot;$&quot;#,##0.0000_);\(&quot;$&quot;#,##0.0000\)"/>
    <numFmt numFmtId="172" formatCode="&quot;$&quot;#,##0.00"/>
    <numFmt numFmtId="173" formatCode="_-&quot;$&quot;* #,##0.000_-;\-&quot;$&quot;* #,##0.000_-;_-&quot;$&quot;* &quot;-&quot;??_-;_-@_-"/>
    <numFmt numFmtId="174" formatCode="0.0%"/>
    <numFmt numFmtId="175" formatCode="#,###"/>
    <numFmt numFmtId="176" formatCode="_(&quot;$&quot;* #,##0.0000_);_(&quot;$&quot;* \(#,##0.00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3" applyFont="1" applyAlignment="1" applyProtection="1">
      <alignment horizontal="right" vertical="center"/>
      <protection locked="0"/>
    </xf>
    <xf numFmtId="0" fontId="2" fillId="0" borderId="0" xfId="3" applyProtection="1">
      <protection locked="0"/>
    </xf>
    <xf numFmtId="0" fontId="2" fillId="0" borderId="0" xfId="3" applyFont="1" applyProtection="1">
      <protection locked="0"/>
    </xf>
    <xf numFmtId="168" fontId="3" fillId="2" borderId="1" xfId="5" applyNumberFormat="1" applyFont="1" applyFill="1" applyBorder="1" applyProtection="1">
      <protection locked="0"/>
    </xf>
    <xf numFmtId="0" fontId="3" fillId="0" borderId="0" xfId="3" applyFont="1" applyAlignment="1" applyProtection="1">
      <protection locked="0"/>
    </xf>
    <xf numFmtId="0" fontId="3" fillId="0" borderId="6" xfId="3" applyFont="1" applyBorder="1" applyAlignment="1" applyProtection="1">
      <alignment horizontal="center"/>
      <protection locked="0"/>
    </xf>
    <xf numFmtId="0" fontId="3" fillId="0" borderId="7" xfId="3" applyFont="1" applyBorder="1" applyAlignment="1" applyProtection="1">
      <alignment horizontal="center"/>
      <protection locked="0"/>
    </xf>
    <xf numFmtId="0" fontId="3" fillId="0" borderId="8" xfId="3" applyFont="1" applyBorder="1" applyAlignment="1" applyProtection="1">
      <alignment horizontal="center"/>
      <protection locked="0"/>
    </xf>
    <xf numFmtId="0" fontId="3" fillId="0" borderId="2" xfId="3" quotePrefix="1" applyFont="1" applyBorder="1" applyAlignment="1" applyProtection="1">
      <alignment horizontal="center"/>
      <protection locked="0"/>
    </xf>
    <xf numFmtId="0" fontId="3" fillId="0" borderId="10" xfId="3" quotePrefix="1" applyFont="1" applyBorder="1" applyAlignment="1" applyProtection="1">
      <alignment horizontal="center"/>
      <protection locked="0"/>
    </xf>
    <xf numFmtId="0" fontId="2" fillId="0" borderId="0" xfId="3" applyBorder="1" applyAlignment="1" applyProtection="1">
      <alignment vertical="top"/>
    </xf>
    <xf numFmtId="0" fontId="2" fillId="2" borderId="0" xfId="3" applyFill="1" applyAlignment="1" applyProtection="1">
      <alignment vertical="top"/>
      <protection locked="0"/>
    </xf>
    <xf numFmtId="165" fontId="3" fillId="2" borderId="9" xfId="6" applyNumberFormat="1" applyFont="1" applyFill="1" applyBorder="1" applyAlignment="1" applyProtection="1">
      <alignment horizontal="left" vertical="center"/>
      <protection locked="0"/>
    </xf>
    <xf numFmtId="0" fontId="2" fillId="0" borderId="9" xfId="3" applyFont="1" applyFill="1" applyBorder="1" applyAlignment="1" applyProtection="1">
      <alignment vertical="center"/>
      <protection locked="0"/>
    </xf>
    <xf numFmtId="165" fontId="7" fillId="0" borderId="7" xfId="6" applyFont="1" applyBorder="1" applyAlignment="1" applyProtection="1">
      <alignment vertical="center"/>
      <protection locked="0"/>
    </xf>
    <xf numFmtId="165" fontId="8" fillId="2" borderId="9" xfId="6" applyNumberFormat="1" applyFont="1" applyFill="1" applyBorder="1" applyAlignment="1" applyProtection="1">
      <alignment horizontal="left" vertical="center"/>
      <protection locked="0"/>
    </xf>
    <xf numFmtId="0" fontId="2" fillId="0" borderId="7" xfId="3" applyFont="1" applyFill="1" applyBorder="1" applyAlignment="1" applyProtection="1">
      <alignment vertical="center"/>
      <protection locked="0"/>
    </xf>
    <xf numFmtId="165" fontId="2" fillId="0" borderId="9" xfId="3" applyNumberFormat="1" applyFont="1" applyBorder="1" applyAlignment="1" applyProtection="1">
      <alignment vertical="center"/>
      <protection locked="0"/>
    </xf>
    <xf numFmtId="10" fontId="7" fillId="0" borderId="7" xfId="5" applyNumberFormat="1" applyFont="1" applyBorder="1" applyAlignment="1" applyProtection="1">
      <alignment vertical="center"/>
      <protection locked="0"/>
    </xf>
    <xf numFmtId="169" fontId="3" fillId="2" borderId="9" xfId="6" applyNumberFormat="1" applyFont="1" applyFill="1" applyBorder="1" applyAlignment="1" applyProtection="1">
      <alignment horizontal="left" vertical="center"/>
      <protection locked="0"/>
    </xf>
    <xf numFmtId="169" fontId="8" fillId="2" borderId="9" xfId="6" applyNumberFormat="1" applyFont="1" applyFill="1" applyBorder="1" applyAlignment="1" applyProtection="1">
      <alignment horizontal="left" vertical="center"/>
      <protection locked="0"/>
    </xf>
    <xf numFmtId="0" fontId="2" fillId="0" borderId="0" xfId="3" applyFill="1" applyBorder="1" applyAlignment="1" applyProtection="1">
      <alignment vertical="top"/>
    </xf>
    <xf numFmtId="0" fontId="3" fillId="3" borderId="3" xfId="3" applyFont="1" applyFill="1" applyBorder="1" applyAlignment="1" applyProtection="1">
      <alignment vertical="top"/>
      <protection locked="0"/>
    </xf>
    <xf numFmtId="0" fontId="2" fillId="3" borderId="4" xfId="3" applyFill="1" applyBorder="1" applyAlignment="1" applyProtection="1">
      <alignment vertical="top"/>
      <protection locked="0"/>
    </xf>
    <xf numFmtId="169" fontId="3" fillId="3" borderId="1" xfId="6" applyNumberFormat="1" applyFont="1" applyFill="1" applyBorder="1" applyAlignment="1" applyProtection="1">
      <alignment horizontal="left" vertical="center"/>
      <protection locked="0"/>
    </xf>
    <xf numFmtId="0" fontId="3" fillId="3" borderId="1" xfId="3" applyFont="1" applyFill="1" applyBorder="1" applyAlignment="1" applyProtection="1">
      <alignment vertical="center"/>
      <protection locked="0"/>
    </xf>
    <xf numFmtId="165" fontId="9" fillId="3" borderId="5" xfId="6" applyFont="1" applyFill="1" applyBorder="1" applyAlignment="1" applyProtection="1">
      <alignment vertical="center"/>
      <protection locked="0"/>
    </xf>
    <xf numFmtId="169" fontId="8" fillId="3" borderId="1" xfId="6" applyNumberFormat="1" applyFont="1" applyFill="1" applyBorder="1" applyAlignment="1" applyProtection="1">
      <alignment horizontal="left" vertical="center"/>
      <protection locked="0"/>
    </xf>
    <xf numFmtId="0" fontId="3" fillId="3" borderId="5" xfId="3" applyFont="1" applyFill="1" applyBorder="1" applyAlignment="1" applyProtection="1">
      <alignment vertical="center"/>
      <protection locked="0"/>
    </xf>
    <xf numFmtId="165" fontId="3" fillId="3" borderId="1" xfId="3" applyNumberFormat="1" applyFont="1" applyFill="1" applyBorder="1" applyAlignment="1" applyProtection="1">
      <alignment vertical="center"/>
      <protection locked="0"/>
    </xf>
    <xf numFmtId="10" fontId="3" fillId="3" borderId="5" xfId="5" applyNumberFormat="1" applyFont="1" applyFill="1" applyBorder="1" applyAlignment="1" applyProtection="1">
      <alignment vertical="center"/>
      <protection locked="0"/>
    </xf>
    <xf numFmtId="0" fontId="2" fillId="0" borderId="0" xfId="3" applyFont="1" applyFill="1" applyAlignment="1" applyProtection="1">
      <alignment vertical="top" wrapText="1"/>
    </xf>
    <xf numFmtId="167" fontId="2" fillId="4" borderId="9" xfId="4" applyNumberFormat="1" applyFont="1" applyFill="1" applyBorder="1" applyAlignment="1" applyProtection="1">
      <alignment vertical="center"/>
      <protection locked="0"/>
    </xf>
    <xf numFmtId="167" fontId="2" fillId="0" borderId="9" xfId="4" applyNumberFormat="1" applyFont="1" applyFill="1" applyBorder="1" applyAlignment="1" applyProtection="1">
      <alignment vertical="center"/>
      <protection locked="0"/>
    </xf>
    <xf numFmtId="0" fontId="2" fillId="0" borderId="0" xfId="3" applyFont="1" applyAlignment="1" applyProtection="1">
      <alignment vertical="top"/>
    </xf>
    <xf numFmtId="0" fontId="2" fillId="0" borderId="0" xfId="3" applyFont="1" applyAlignment="1" applyProtection="1">
      <alignment vertical="top" wrapText="1"/>
    </xf>
    <xf numFmtId="44" fontId="3" fillId="2" borderId="9" xfId="6" applyNumberFormat="1" applyFont="1" applyFill="1" applyBorder="1" applyAlignment="1" applyProtection="1">
      <alignment horizontal="left" vertical="center"/>
      <protection locked="0"/>
    </xf>
    <xf numFmtId="44" fontId="8" fillId="2" borderId="9" xfId="6" applyNumberFormat="1" applyFont="1" applyFill="1" applyBorder="1" applyAlignment="1" applyProtection="1">
      <alignment horizontal="left" vertical="center"/>
      <protection locked="0"/>
    </xf>
    <xf numFmtId="0" fontId="3" fillId="3" borderId="3" xfId="3" applyFont="1" applyFill="1" applyBorder="1" applyAlignment="1" applyProtection="1">
      <alignment vertical="top" wrapText="1"/>
      <protection locked="0"/>
    </xf>
    <xf numFmtId="0" fontId="2" fillId="3" borderId="4" xfId="3" applyFill="1" applyBorder="1" applyProtection="1">
      <protection locked="0"/>
    </xf>
    <xf numFmtId="0" fontId="3" fillId="3" borderId="1" xfId="3" applyFont="1" applyFill="1" applyBorder="1" applyAlignment="1" applyProtection="1">
      <alignment horizontal="left" vertical="center"/>
      <protection locked="0"/>
    </xf>
    <xf numFmtId="0" fontId="2" fillId="3" borderId="1" xfId="3" applyFont="1" applyFill="1" applyBorder="1" applyAlignment="1" applyProtection="1">
      <alignment vertical="center"/>
      <protection locked="0"/>
    </xf>
    <xf numFmtId="165" fontId="3" fillId="3" borderId="5" xfId="3" applyNumberFormat="1" applyFont="1" applyFill="1" applyBorder="1" applyAlignment="1" applyProtection="1">
      <alignment vertical="center"/>
      <protection locked="0"/>
    </xf>
    <xf numFmtId="0" fontId="8" fillId="3" borderId="1" xfId="3" applyFont="1" applyFill="1" applyBorder="1" applyAlignment="1" applyProtection="1">
      <alignment horizontal="left" vertical="center"/>
      <protection locked="0"/>
    </xf>
    <xf numFmtId="0" fontId="2" fillId="3" borderId="5" xfId="3" applyFont="1" applyFill="1" applyBorder="1" applyAlignment="1" applyProtection="1">
      <alignment vertical="center"/>
      <protection locked="0"/>
    </xf>
    <xf numFmtId="0" fontId="2" fillId="0" borderId="0" xfId="3" applyAlignment="1" applyProtection="1">
      <alignment vertical="center"/>
    </xf>
    <xf numFmtId="0" fontId="2" fillId="0" borderId="11" xfId="3" applyBorder="1" applyAlignment="1" applyProtection="1">
      <alignment vertical="center" wrapText="1"/>
    </xf>
    <xf numFmtId="0" fontId="2" fillId="0" borderId="0" xfId="3" applyAlignment="1" applyProtection="1">
      <alignment vertical="top" wrapText="1"/>
      <protection locked="0"/>
    </xf>
    <xf numFmtId="165" fontId="2" fillId="0" borderId="7" xfId="6" applyFont="1" applyBorder="1" applyAlignment="1" applyProtection="1">
      <alignment vertical="center"/>
      <protection locked="0"/>
    </xf>
    <xf numFmtId="0" fontId="2" fillId="0" borderId="0" xfId="3" applyAlignment="1" applyProtection="1">
      <alignment vertical="top"/>
      <protection locked="0"/>
    </xf>
    <xf numFmtId="0" fontId="2" fillId="0" borderId="0" xfId="3" applyFont="1" applyAlignment="1" applyProtection="1">
      <alignment vertical="top"/>
      <protection locked="0"/>
    </xf>
    <xf numFmtId="169" fontId="3" fillId="0" borderId="9" xfId="6" applyNumberFormat="1" applyFont="1" applyFill="1" applyBorder="1" applyAlignment="1" applyProtection="1">
      <alignment horizontal="left" vertical="center"/>
      <protection locked="0"/>
    </xf>
    <xf numFmtId="167" fontId="2" fillId="2" borderId="9" xfId="4" applyNumberFormat="1" applyFont="1" applyFill="1" applyBorder="1" applyAlignment="1" applyProtection="1">
      <alignment vertical="center"/>
      <protection locked="0"/>
    </xf>
    <xf numFmtId="169" fontId="8" fillId="0" borderId="9" xfId="6" applyNumberFormat="1" applyFont="1" applyFill="1" applyBorder="1" applyAlignment="1" applyProtection="1">
      <alignment horizontal="left" vertical="center"/>
      <protection locked="0"/>
    </xf>
    <xf numFmtId="169" fontId="3" fillId="5" borderId="9" xfId="6" applyNumberFormat="1" applyFont="1" applyFill="1" applyBorder="1" applyAlignment="1" applyProtection="1">
      <alignment horizontal="left" vertical="center"/>
      <protection locked="0"/>
    </xf>
    <xf numFmtId="169" fontId="8" fillId="5" borderId="9" xfId="6" applyNumberFormat="1" applyFont="1" applyFill="1" applyBorder="1" applyAlignment="1" applyProtection="1">
      <alignment horizontal="left" vertical="center"/>
      <protection locked="0"/>
    </xf>
    <xf numFmtId="0" fontId="2" fillId="6" borderId="12" xfId="3" applyFont="1" applyFill="1" applyBorder="1" applyProtection="1">
      <protection locked="0"/>
    </xf>
    <xf numFmtId="0" fontId="2" fillId="6" borderId="13" xfId="3" applyFill="1" applyBorder="1" applyAlignment="1" applyProtection="1">
      <alignment vertical="top"/>
      <protection locked="0"/>
    </xf>
    <xf numFmtId="169" fontId="2" fillId="6" borderId="14" xfId="6" applyNumberFormat="1" applyFont="1" applyFill="1" applyBorder="1" applyAlignment="1" applyProtection="1">
      <alignment vertical="top"/>
      <protection locked="0"/>
    </xf>
    <xf numFmtId="0" fontId="2" fillId="6" borderId="15" xfId="3" applyFont="1" applyFill="1" applyBorder="1" applyAlignment="1" applyProtection="1">
      <alignment vertical="center"/>
      <protection locked="0"/>
    </xf>
    <xf numFmtId="165" fontId="2" fillId="6" borderId="13" xfId="6" applyFont="1" applyFill="1" applyBorder="1" applyAlignment="1" applyProtection="1">
      <alignment vertical="center"/>
      <protection locked="0"/>
    </xf>
    <xf numFmtId="0" fontId="2" fillId="6" borderId="14" xfId="3" applyFont="1" applyFill="1" applyBorder="1" applyAlignment="1" applyProtection="1">
      <alignment vertical="center"/>
      <protection locked="0"/>
    </xf>
    <xf numFmtId="165" fontId="2" fillId="6" borderId="14" xfId="3" applyNumberFormat="1" applyFont="1" applyFill="1" applyBorder="1" applyAlignment="1" applyProtection="1">
      <alignment vertical="center"/>
      <protection locked="0"/>
    </xf>
    <xf numFmtId="10" fontId="2" fillId="6" borderId="16" xfId="5" applyNumberFormat="1" applyFont="1" applyFill="1" applyBorder="1" applyAlignment="1" applyProtection="1">
      <alignment vertical="center"/>
      <protection locked="0"/>
    </xf>
    <xf numFmtId="0" fontId="3" fillId="0" borderId="0" xfId="3" applyFont="1" applyFill="1" applyAlignment="1" applyProtection="1">
      <alignment vertical="top"/>
      <protection locked="0"/>
    </xf>
    <xf numFmtId="9" fontId="2" fillId="0" borderId="9" xfId="3" applyNumberFormat="1" applyFont="1" applyFill="1" applyBorder="1" applyAlignment="1" applyProtection="1">
      <alignment vertical="top"/>
      <protection locked="0"/>
    </xf>
    <xf numFmtId="9" fontId="2" fillId="0" borderId="0" xfId="3" applyNumberFormat="1" applyFont="1" applyFill="1" applyBorder="1" applyAlignment="1" applyProtection="1">
      <alignment vertical="center"/>
      <protection locked="0"/>
    </xf>
    <xf numFmtId="165" fontId="3" fillId="0" borderId="17" xfId="3" applyNumberFormat="1" applyFont="1" applyFill="1" applyBorder="1" applyAlignment="1" applyProtection="1">
      <alignment vertical="center"/>
      <protection locked="0"/>
    </xf>
    <xf numFmtId="9" fontId="3" fillId="0" borderId="9" xfId="3" applyNumberFormat="1" applyFont="1" applyFill="1" applyBorder="1" applyAlignment="1" applyProtection="1">
      <alignment vertical="center"/>
      <protection locked="0"/>
    </xf>
    <xf numFmtId="165" fontId="3" fillId="0" borderId="9" xfId="3" applyNumberFormat="1" applyFont="1" applyFill="1" applyBorder="1" applyAlignment="1" applyProtection="1">
      <alignment vertical="center"/>
      <protection locked="0"/>
    </xf>
    <xf numFmtId="10" fontId="3" fillId="0" borderId="7" xfId="5" applyNumberFormat="1" applyFont="1" applyFill="1" applyBorder="1" applyAlignment="1" applyProtection="1">
      <alignment vertical="center"/>
      <protection locked="0"/>
    </xf>
    <xf numFmtId="0" fontId="2" fillId="0" borderId="0" xfId="3" applyFont="1" applyFill="1" applyAlignment="1" applyProtection="1">
      <alignment horizontal="left" vertical="top" indent="1"/>
      <protection locked="0"/>
    </xf>
    <xf numFmtId="0" fontId="2" fillId="0" borderId="0" xfId="3" applyFont="1" applyFill="1" applyBorder="1" applyAlignment="1" applyProtection="1">
      <alignment vertical="center"/>
      <protection locked="0"/>
    </xf>
    <xf numFmtId="165" fontId="2" fillId="0" borderId="17" xfId="3" applyNumberFormat="1" applyFont="1" applyFill="1" applyBorder="1" applyAlignment="1" applyProtection="1">
      <alignment vertical="center"/>
      <protection locked="0"/>
    </xf>
    <xf numFmtId="9" fontId="2" fillId="0" borderId="9" xfId="3" applyNumberFormat="1" applyFont="1" applyFill="1" applyBorder="1" applyAlignment="1" applyProtection="1">
      <alignment vertical="center"/>
      <protection locked="0"/>
    </xf>
    <xf numFmtId="165" fontId="2" fillId="0" borderId="9" xfId="3" applyNumberFormat="1" applyFont="1" applyFill="1" applyBorder="1" applyAlignment="1" applyProtection="1">
      <alignment vertical="center"/>
      <protection locked="0"/>
    </xf>
    <xf numFmtId="10" fontId="2" fillId="0" borderId="7" xfId="5" applyNumberFormat="1" applyFont="1" applyFill="1" applyBorder="1" applyAlignment="1" applyProtection="1">
      <alignment vertical="center"/>
      <protection locked="0"/>
    </xf>
    <xf numFmtId="0" fontId="2" fillId="7" borderId="2" xfId="3" applyFont="1" applyFill="1" applyBorder="1" applyAlignment="1" applyProtection="1">
      <alignment vertical="top"/>
      <protection locked="0"/>
    </xf>
    <xf numFmtId="0" fontId="2" fillId="7" borderId="11" xfId="3" applyFont="1" applyFill="1" applyBorder="1" applyAlignment="1" applyProtection="1">
      <alignment vertical="center"/>
      <protection locked="0"/>
    </xf>
    <xf numFmtId="165" fontId="3" fillId="7" borderId="17" xfId="3" applyNumberFormat="1" applyFont="1" applyFill="1" applyBorder="1" applyAlignment="1" applyProtection="1">
      <alignment vertical="center"/>
      <protection locked="0"/>
    </xf>
    <xf numFmtId="0" fontId="3" fillId="7" borderId="2" xfId="3" applyFont="1" applyFill="1" applyBorder="1" applyAlignment="1" applyProtection="1">
      <alignment vertical="center"/>
      <protection locked="0"/>
    </xf>
    <xf numFmtId="165" fontId="3" fillId="7" borderId="18" xfId="3" applyNumberFormat="1" applyFont="1" applyFill="1" applyBorder="1" applyAlignment="1" applyProtection="1">
      <alignment vertical="center"/>
      <protection locked="0"/>
    </xf>
    <xf numFmtId="165" fontId="3" fillId="7" borderId="2" xfId="3" applyNumberFormat="1" applyFont="1" applyFill="1" applyBorder="1" applyAlignment="1" applyProtection="1">
      <alignment vertical="center"/>
      <protection locked="0"/>
    </xf>
    <xf numFmtId="10" fontId="3" fillId="7" borderId="10" xfId="5" applyNumberFormat="1" applyFont="1" applyFill="1" applyBorder="1" applyAlignment="1" applyProtection="1">
      <alignment vertical="center"/>
      <protection locked="0"/>
    </xf>
    <xf numFmtId="0" fontId="3" fillId="0" borderId="0" xfId="3" applyFont="1" applyFill="1" applyAlignment="1" applyProtection="1">
      <alignment horizontal="right" vertical="center"/>
      <protection locked="0"/>
    </xf>
    <xf numFmtId="0" fontId="5" fillId="0" borderId="0" xfId="3" applyFont="1" applyFill="1" applyBorder="1" applyAlignment="1" applyProtection="1">
      <alignment vertical="top"/>
      <protection locked="0"/>
    </xf>
    <xf numFmtId="0" fontId="2" fillId="0" borderId="0" xfId="3" applyFill="1" applyProtection="1">
      <protection locked="0"/>
    </xf>
    <xf numFmtId="167" fontId="3" fillId="0" borderId="1" xfId="4" applyNumberFormat="1" applyFont="1" applyFill="1" applyBorder="1" applyAlignment="1" applyProtection="1">
      <alignment horizontal="center" vertical="center"/>
      <protection locked="0"/>
    </xf>
    <xf numFmtId="0" fontId="3" fillId="0" borderId="0" xfId="3" applyFont="1" applyFill="1" applyProtection="1">
      <protection locked="0"/>
    </xf>
    <xf numFmtId="0" fontId="2" fillId="0" borderId="0" xfId="3" applyFont="1" applyFill="1" applyProtection="1">
      <protection locked="0"/>
    </xf>
    <xf numFmtId="0" fontId="6" fillId="0" borderId="0" xfId="3" applyFont="1" applyFill="1" applyAlignment="1" applyProtection="1">
      <alignment vertical="center"/>
      <protection locked="0"/>
    </xf>
    <xf numFmtId="0" fontId="3" fillId="0" borderId="0" xfId="3" applyFont="1" applyFill="1" applyAlignment="1" applyProtection="1">
      <alignment horizontal="left"/>
      <protection locked="0"/>
    </xf>
    <xf numFmtId="0" fontId="3" fillId="0" borderId="0" xfId="3" applyFont="1" applyFill="1" applyAlignment="1" applyProtection="1">
      <alignment horizontal="center"/>
      <protection locked="0"/>
    </xf>
    <xf numFmtId="0" fontId="6" fillId="0" borderId="0" xfId="3" applyFont="1" applyFill="1" applyAlignment="1" applyProtection="1">
      <alignment horizontal="center"/>
      <protection locked="0"/>
    </xf>
    <xf numFmtId="168" fontId="3" fillId="0" borderId="1" xfId="5" applyNumberFormat="1" applyFont="1" applyFill="1" applyBorder="1" applyProtection="1">
      <protection locked="0"/>
    </xf>
    <xf numFmtId="10" fontId="2" fillId="0" borderId="0" xfId="2" applyNumberFormat="1" applyFont="1" applyFill="1" applyProtection="1">
      <protection locked="0"/>
    </xf>
    <xf numFmtId="0" fontId="6" fillId="0" borderId="0" xfId="3" applyFont="1" applyFill="1" applyAlignment="1" applyProtection="1">
      <alignment horizontal="right" vertical="center"/>
      <protection locked="0"/>
    </xf>
    <xf numFmtId="0" fontId="3" fillId="0" borderId="0" xfId="3" applyFont="1" applyFill="1" applyAlignment="1" applyProtection="1">
      <alignment horizontal="right"/>
      <protection locked="0"/>
    </xf>
    <xf numFmtId="170" fontId="6" fillId="0" borderId="0" xfId="1" applyNumberFormat="1" applyFont="1" applyFill="1" applyAlignment="1" applyProtection="1">
      <alignment vertical="center"/>
      <protection locked="0"/>
    </xf>
    <xf numFmtId="170" fontId="2" fillId="0" borderId="7" xfId="3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0" fontId="0" fillId="0" borderId="0" xfId="0" applyAlignment="1">
      <alignment horizontal="center" wrapText="1"/>
    </xf>
    <xf numFmtId="10" fontId="0" fillId="0" borderId="0" xfId="2" applyNumberFormat="1" applyFont="1"/>
    <xf numFmtId="10" fontId="0" fillId="0" borderId="0" xfId="0" applyNumberFormat="1"/>
    <xf numFmtId="165" fontId="0" fillId="0" borderId="0" xfId="7" applyFont="1"/>
    <xf numFmtId="0" fontId="12" fillId="0" borderId="0" xfId="0" applyFont="1" applyAlignment="1">
      <alignment horizontal="center" wrapText="1"/>
    </xf>
    <xf numFmtId="0" fontId="12" fillId="0" borderId="0" xfId="0" quotePrefix="1" applyFont="1" applyAlignment="1">
      <alignment horizontal="center" wrapText="1"/>
    </xf>
    <xf numFmtId="172" fontId="0" fillId="0" borderId="0" xfId="7" applyNumberFormat="1" applyFont="1"/>
    <xf numFmtId="172" fontId="0" fillId="0" borderId="0" xfId="0" applyNumberFormat="1"/>
    <xf numFmtId="166" fontId="0" fillId="0" borderId="0" xfId="1" applyFont="1"/>
    <xf numFmtId="166" fontId="0" fillId="0" borderId="0" xfId="1" applyNumberFormat="1" applyFont="1"/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0" xfId="7" applyFont="1" applyAlignment="1">
      <alignment horizontal="center"/>
    </xf>
    <xf numFmtId="0" fontId="0" fillId="0" borderId="0" xfId="0" applyAlignment="1">
      <alignment horizontal="right"/>
    </xf>
    <xf numFmtId="171" fontId="0" fillId="0" borderId="0" xfId="0" applyNumberFormat="1"/>
    <xf numFmtId="0" fontId="2" fillId="0" borderId="0" xfId="3" quotePrefix="1" applyFill="1" applyBorder="1" applyAlignment="1" applyProtection="1">
      <alignment horizontal="left" vertical="top"/>
    </xf>
    <xf numFmtId="1" fontId="2" fillId="0" borderId="9" xfId="3" applyNumberFormat="1" applyFont="1" applyFill="1" applyBorder="1" applyAlignment="1" applyProtection="1">
      <alignment vertical="center"/>
      <protection locked="0"/>
    </xf>
    <xf numFmtId="168" fontId="2" fillId="0" borderId="0" xfId="3" applyNumberFormat="1" applyProtection="1">
      <protection locked="0"/>
    </xf>
    <xf numFmtId="0" fontId="3" fillId="0" borderId="0" xfId="3" applyFont="1" applyProtection="1">
      <protection locked="0"/>
    </xf>
    <xf numFmtId="0" fontId="12" fillId="2" borderId="19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 wrapText="1"/>
    </xf>
    <xf numFmtId="0" fontId="0" fillId="2" borderId="21" xfId="0" applyFill="1" applyBorder="1"/>
    <xf numFmtId="3" fontId="0" fillId="2" borderId="6" xfId="0" applyNumberFormat="1" applyFill="1" applyBorder="1" applyAlignment="1">
      <alignment horizontal="center"/>
    </xf>
    <xf numFmtId="10" fontId="0" fillId="2" borderId="22" xfId="0" applyNumberFormat="1" applyFill="1" applyBorder="1" applyAlignment="1">
      <alignment horizontal="center"/>
    </xf>
    <xf numFmtId="0" fontId="0" fillId="2" borderId="23" xfId="0" applyFill="1" applyBorder="1"/>
    <xf numFmtId="3" fontId="0" fillId="2" borderId="9" xfId="0" applyNumberFormat="1" applyFill="1" applyBorder="1" applyAlignment="1">
      <alignment horizontal="center"/>
    </xf>
    <xf numFmtId="1" fontId="0" fillId="2" borderId="9" xfId="1" applyNumberFormat="1" applyFont="1" applyFill="1" applyBorder="1" applyAlignment="1">
      <alignment horizontal="center"/>
    </xf>
    <xf numFmtId="10" fontId="0" fillId="2" borderId="24" xfId="0" applyNumberFormat="1" applyFill="1" applyBorder="1" applyAlignment="1">
      <alignment horizontal="center"/>
    </xf>
    <xf numFmtId="0" fontId="0" fillId="2" borderId="25" xfId="0" applyFill="1" applyBorder="1"/>
    <xf numFmtId="3" fontId="0" fillId="2" borderId="2" xfId="0" applyNumberFormat="1" applyFill="1" applyBorder="1" applyAlignment="1">
      <alignment horizontal="center"/>
    </xf>
    <xf numFmtId="10" fontId="0" fillId="2" borderId="26" xfId="0" applyNumberFormat="1" applyFill="1" applyBorder="1" applyAlignment="1">
      <alignment horizontal="center"/>
    </xf>
    <xf numFmtId="0" fontId="0" fillId="2" borderId="27" xfId="0" applyFill="1" applyBorder="1"/>
    <xf numFmtId="3" fontId="0" fillId="2" borderId="28" xfId="0" applyNumberFormat="1" applyFill="1" applyBorder="1" applyAlignment="1">
      <alignment horizontal="center"/>
    </xf>
    <xf numFmtId="1" fontId="0" fillId="2" borderId="28" xfId="1" applyNumberFormat="1" applyFont="1" applyFill="1" applyBorder="1" applyAlignment="1">
      <alignment horizontal="center"/>
    </xf>
    <xf numFmtId="164" fontId="12" fillId="0" borderId="0" xfId="7" applyNumberFormat="1" applyFont="1" applyAlignment="1">
      <alignment horizontal="center"/>
    </xf>
    <xf numFmtId="166" fontId="12" fillId="0" borderId="0" xfId="1" applyNumberFormat="1" applyFont="1"/>
    <xf numFmtId="166" fontId="12" fillId="0" borderId="0" xfId="1" applyFont="1"/>
    <xf numFmtId="164" fontId="12" fillId="0" borderId="0" xfId="0" applyNumberFormat="1" applyFont="1"/>
    <xf numFmtId="173" fontId="3" fillId="2" borderId="9" xfId="6" applyNumberFormat="1" applyFont="1" applyFill="1" applyBorder="1" applyAlignment="1" applyProtection="1">
      <alignment horizontal="left" vertical="center"/>
      <protection locked="0"/>
    </xf>
    <xf numFmtId="174" fontId="2" fillId="0" borderId="9" xfId="3" applyNumberFormat="1" applyFont="1" applyFill="1" applyBorder="1" applyAlignment="1" applyProtection="1">
      <alignment vertical="top"/>
      <protection locked="0"/>
    </xf>
    <xf numFmtId="166" fontId="2" fillId="0" borderId="0" xfId="3" applyNumberFormat="1" applyFill="1" applyProtection="1">
      <protection locked="0"/>
    </xf>
    <xf numFmtId="0" fontId="2" fillId="0" borderId="0" xfId="3" applyFill="1" applyAlignment="1" applyProtection="1">
      <alignment vertical="top"/>
      <protection locked="0"/>
    </xf>
    <xf numFmtId="165" fontId="7" fillId="0" borderId="7" xfId="6" applyFont="1" applyFill="1" applyBorder="1" applyAlignment="1" applyProtection="1">
      <alignment vertical="center"/>
      <protection locked="0"/>
    </xf>
    <xf numFmtId="10" fontId="7" fillId="0" borderId="7" xfId="5" applyNumberFormat="1" applyFont="1" applyFill="1" applyBorder="1" applyAlignment="1" applyProtection="1">
      <alignment vertical="center"/>
      <protection locked="0"/>
    </xf>
    <xf numFmtId="1" fontId="2" fillId="0" borderId="7" xfId="3" applyNumberFormat="1" applyFont="1" applyFill="1" applyBorder="1" applyAlignment="1" applyProtection="1">
      <alignment vertical="center"/>
      <protection locked="0"/>
    </xf>
    <xf numFmtId="0" fontId="2" fillId="0" borderId="1" xfId="3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175" fontId="0" fillId="8" borderId="0" xfId="0" applyNumberFormat="1" applyFill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172" fontId="0" fillId="2" borderId="23" xfId="0" applyNumberFormat="1" applyFill="1" applyBorder="1" applyAlignment="1">
      <alignment horizontal="center"/>
    </xf>
    <xf numFmtId="172" fontId="0" fillId="2" borderId="25" xfId="0" applyNumberFormat="1" applyFill="1" applyBorder="1" applyAlignment="1">
      <alignment horizontal="center"/>
    </xf>
    <xf numFmtId="172" fontId="0" fillId="2" borderId="21" xfId="0" applyNumberFormat="1" applyFill="1" applyBorder="1" applyAlignment="1">
      <alignment horizontal="center"/>
    </xf>
    <xf numFmtId="0" fontId="12" fillId="2" borderId="34" xfId="0" applyFont="1" applyFill="1" applyBorder="1" applyAlignment="1">
      <alignment horizontal="center" wrapText="1"/>
    </xf>
    <xf numFmtId="0" fontId="12" fillId="2" borderId="35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38" xfId="0" applyFont="1" applyFill="1" applyBorder="1" applyAlignment="1">
      <alignment horizontal="center" wrapText="1"/>
    </xf>
    <xf numFmtId="1" fontId="0" fillId="2" borderId="22" xfId="1" applyNumberFormat="1" applyFont="1" applyFill="1" applyBorder="1" applyAlignment="1">
      <alignment horizontal="center"/>
    </xf>
    <xf numFmtId="1" fontId="0" fillId="2" borderId="24" xfId="1" applyNumberFormat="1" applyFont="1" applyFill="1" applyBorder="1" applyAlignment="1">
      <alignment horizontal="center"/>
    </xf>
    <xf numFmtId="1" fontId="0" fillId="2" borderId="26" xfId="1" applyNumberFormat="1" applyFont="1" applyFill="1" applyBorder="1" applyAlignment="1">
      <alignment horizontal="center"/>
    </xf>
    <xf numFmtId="172" fontId="0" fillId="2" borderId="8" xfId="0" applyNumberFormat="1" applyFill="1" applyBorder="1" applyAlignment="1">
      <alignment horizontal="center"/>
    </xf>
    <xf numFmtId="172" fontId="0" fillId="2" borderId="7" xfId="0" applyNumberFormat="1" applyFill="1" applyBorder="1" applyAlignment="1">
      <alignment horizontal="center"/>
    </xf>
    <xf numFmtId="172" fontId="0" fillId="2" borderId="10" xfId="0" applyNumberFormat="1" applyFill="1" applyBorder="1" applyAlignment="1">
      <alignment horizontal="center"/>
    </xf>
    <xf numFmtId="10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66" fontId="0" fillId="0" borderId="11" xfId="1" applyNumberFormat="1" applyFont="1" applyBorder="1"/>
    <xf numFmtId="166" fontId="0" fillId="0" borderId="11" xfId="1" applyFont="1" applyBorder="1"/>
    <xf numFmtId="176" fontId="8" fillId="2" borderId="9" xfId="6" applyNumberFormat="1" applyFont="1" applyFill="1" applyBorder="1" applyAlignment="1" applyProtection="1">
      <alignment horizontal="left" vertical="center"/>
      <protection locked="0"/>
    </xf>
    <xf numFmtId="176" fontId="3" fillId="2" borderId="9" xfId="6" applyNumberFormat="1" applyFont="1" applyFill="1" applyBorder="1" applyAlignment="1" applyProtection="1">
      <alignment horizontal="left" vertical="center"/>
      <protection locked="0"/>
    </xf>
    <xf numFmtId="176" fontId="3" fillId="9" borderId="9" xfId="6" applyNumberFormat="1" applyFont="1" applyFill="1" applyBorder="1" applyAlignment="1" applyProtection="1">
      <alignment horizontal="left" vertical="center"/>
      <protection locked="0"/>
    </xf>
    <xf numFmtId="172" fontId="0" fillId="2" borderId="27" xfId="0" applyNumberFormat="1" applyFill="1" applyBorder="1" applyAlignment="1">
      <alignment horizontal="center"/>
    </xf>
    <xf numFmtId="3" fontId="0" fillId="2" borderId="39" xfId="0" applyNumberFormat="1" applyFill="1" applyBorder="1" applyAlignment="1">
      <alignment horizontal="center"/>
    </xf>
    <xf numFmtId="1" fontId="0" fillId="2" borderId="37" xfId="1" applyNumberFormat="1" applyFont="1" applyFill="1" applyBorder="1" applyAlignment="1">
      <alignment horizontal="center"/>
    </xf>
    <xf numFmtId="0" fontId="0" fillId="0" borderId="30" xfId="0" applyBorder="1"/>
    <xf numFmtId="0" fontId="0" fillId="0" borderId="36" xfId="0" applyBorder="1"/>
    <xf numFmtId="0" fontId="0" fillId="0" borderId="32" xfId="0" applyBorder="1"/>
    <xf numFmtId="0" fontId="0" fillId="0" borderId="0" xfId="0" applyBorder="1"/>
    <xf numFmtId="0" fontId="0" fillId="0" borderId="40" xfId="0" applyBorder="1"/>
    <xf numFmtId="0" fontId="0" fillId="0" borderId="29" xfId="0" applyBorder="1"/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30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10" fontId="0" fillId="2" borderId="29" xfId="0" applyNumberFormat="1" applyFill="1" applyBorder="1" applyAlignment="1">
      <alignment horizontal="center"/>
    </xf>
    <xf numFmtId="10" fontId="0" fillId="2" borderId="37" xfId="0" applyNumberFormat="1" applyFill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4" fillId="2" borderId="1" xfId="3" applyFont="1" applyFill="1" applyBorder="1" applyAlignment="1" applyProtection="1">
      <alignment horizontal="left" vertical="top"/>
      <protection locked="0"/>
    </xf>
    <xf numFmtId="0" fontId="3" fillId="0" borderId="2" xfId="3" applyFont="1" applyFill="1" applyBorder="1" applyAlignment="1" applyProtection="1">
      <alignment horizontal="left" vertical="top"/>
      <protection locked="0"/>
    </xf>
    <xf numFmtId="0" fontId="3" fillId="0" borderId="3" xfId="3" applyFont="1" applyBorder="1" applyAlignment="1" applyProtection="1">
      <alignment horizontal="center"/>
      <protection locked="0"/>
    </xf>
    <xf numFmtId="0" fontId="3" fillId="0" borderId="4" xfId="3" applyFont="1" applyBorder="1" applyAlignment="1" applyProtection="1">
      <alignment horizontal="center"/>
      <protection locked="0"/>
    </xf>
    <xf numFmtId="0" fontId="3" fillId="0" borderId="5" xfId="3" applyFont="1" applyBorder="1" applyAlignment="1" applyProtection="1">
      <alignment horizontal="center"/>
      <protection locked="0"/>
    </xf>
    <xf numFmtId="0" fontId="3" fillId="0" borderId="3" xfId="3" quotePrefix="1" applyFont="1" applyBorder="1" applyAlignment="1" applyProtection="1">
      <alignment horizontal="center"/>
      <protection locked="0"/>
    </xf>
    <xf numFmtId="0" fontId="3" fillId="2" borderId="0" xfId="3" applyFont="1" applyFill="1" applyAlignment="1" applyProtection="1">
      <alignment horizontal="center" wrapText="1"/>
      <protection locked="0"/>
    </xf>
    <xf numFmtId="0" fontId="2" fillId="2" borderId="0" xfId="3" applyFill="1" applyAlignment="1" applyProtection="1">
      <alignment horizontal="center" wrapText="1"/>
      <protection locked="0"/>
    </xf>
    <xf numFmtId="0" fontId="3" fillId="0" borderId="9" xfId="3" applyFont="1" applyFill="1" applyBorder="1" applyAlignment="1" applyProtection="1">
      <alignment horizontal="center" wrapText="1"/>
      <protection locked="0"/>
    </xf>
    <xf numFmtId="0" fontId="2" fillId="0" borderId="2" xfId="3" applyBorder="1" applyAlignment="1" applyProtection="1">
      <alignment wrapText="1"/>
      <protection locked="0"/>
    </xf>
    <xf numFmtId="0" fontId="3" fillId="0" borderId="7" xfId="3" applyFont="1" applyFill="1" applyBorder="1" applyAlignment="1" applyProtection="1">
      <alignment horizontal="center" wrapText="1"/>
      <protection locked="0"/>
    </xf>
    <xf numFmtId="0" fontId="2" fillId="0" borderId="10" xfId="3" applyBorder="1" applyAlignment="1" applyProtection="1">
      <alignment wrapText="1"/>
      <protection locked="0"/>
    </xf>
    <xf numFmtId="0" fontId="3" fillId="7" borderId="0" xfId="3" applyFont="1" applyFill="1" applyAlignment="1" applyProtection="1">
      <alignment horizontal="left" vertical="top" wrapText="1"/>
      <protection locked="0"/>
    </xf>
    <xf numFmtId="0" fontId="4" fillId="2" borderId="1" xfId="3" quotePrefix="1" applyFont="1" applyFill="1" applyBorder="1" applyAlignment="1" applyProtection="1">
      <alignment horizontal="left" vertical="top"/>
      <protection locked="0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8">
    <cellStyle name="Comma" xfId="1" builtinId="3"/>
    <cellStyle name="Comma 4" xfId="4" xr:uid="{00000000-0005-0000-0000-000001000000}"/>
    <cellStyle name="Currency" xfId="7" builtinId="4"/>
    <cellStyle name="Currency 2" xfId="6" xr:uid="{00000000-0005-0000-0000-000003000000}"/>
    <cellStyle name="Normal" xfId="0" builtinId="0"/>
    <cellStyle name="Normal 2" xfId="3" xr:uid="{00000000-0005-0000-0000-000006000000}"/>
    <cellStyle name="Percent" xfId="2" builtinId="5"/>
    <cellStyle name="Percent 2" xfId="5" xr:uid="{00000000-0005-0000-0000-000008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workbookViewId="0">
      <selection activeCell="F17" sqref="F17"/>
    </sheetView>
  </sheetViews>
  <sheetFormatPr defaultRowHeight="14.4" x14ac:dyDescent="0.3"/>
  <cols>
    <col min="1" max="1" width="16" customWidth="1"/>
    <col min="2" max="2" width="15.6640625" customWidth="1"/>
    <col min="3" max="3" width="16.109375" customWidth="1"/>
    <col min="4" max="4" width="12" customWidth="1"/>
    <col min="5" max="5" width="15.109375" customWidth="1"/>
    <col min="6" max="6" width="13.6640625" customWidth="1"/>
    <col min="7" max="8" width="12" customWidth="1"/>
    <col min="9" max="9" width="14.33203125" bestFit="1" customWidth="1"/>
    <col min="10" max="10" width="4.109375" style="112" customWidth="1"/>
    <col min="11" max="11" width="12.33203125" customWidth="1"/>
    <col min="12" max="12" width="15.109375" bestFit="1" customWidth="1"/>
    <col min="13" max="13" width="12" customWidth="1"/>
    <col min="14" max="14" width="12.109375" bestFit="1" customWidth="1"/>
    <col min="15" max="15" width="11.6640625" customWidth="1"/>
    <col min="16" max="16" width="11.33203125" customWidth="1"/>
  </cols>
  <sheetData>
    <row r="1" spans="1:16" x14ac:dyDescent="0.3">
      <c r="A1" s="101" t="s">
        <v>55</v>
      </c>
      <c r="H1" s="115" t="s">
        <v>76</v>
      </c>
      <c r="I1" s="108">
        <v>875610.33</v>
      </c>
    </row>
    <row r="2" spans="1:16" x14ac:dyDescent="0.3">
      <c r="H2" s="115" t="s">
        <v>77</v>
      </c>
      <c r="I2" s="108">
        <v>0</v>
      </c>
    </row>
    <row r="3" spans="1:16" x14ac:dyDescent="0.3">
      <c r="I3" s="109">
        <f>SUM(I1:I2)</f>
        <v>875610.33</v>
      </c>
    </row>
    <row r="4" spans="1:16" s="102" customFormat="1" ht="72" x14ac:dyDescent="0.3">
      <c r="A4" s="106" t="s">
        <v>56</v>
      </c>
      <c r="B4" s="106"/>
      <c r="C4" s="107" t="s">
        <v>57</v>
      </c>
      <c r="D4" s="107" t="s">
        <v>60</v>
      </c>
      <c r="E4" s="106" t="s">
        <v>59</v>
      </c>
      <c r="F4" s="106" t="s">
        <v>58</v>
      </c>
      <c r="G4" s="107" t="s">
        <v>67</v>
      </c>
      <c r="H4" s="106" t="s">
        <v>68</v>
      </c>
      <c r="I4" s="106" t="s">
        <v>61</v>
      </c>
      <c r="J4" s="106"/>
      <c r="K4" s="106" t="s">
        <v>69</v>
      </c>
      <c r="L4" s="106" t="s">
        <v>62</v>
      </c>
      <c r="M4" s="107" t="s">
        <v>63</v>
      </c>
      <c r="N4" s="106" t="s">
        <v>64</v>
      </c>
      <c r="O4" s="106" t="s">
        <v>65</v>
      </c>
      <c r="P4" s="106" t="s">
        <v>66</v>
      </c>
    </row>
    <row r="5" spans="1:16" x14ac:dyDescent="0.3">
      <c r="A5" t="s">
        <v>70</v>
      </c>
      <c r="B5" s="103"/>
      <c r="C5" s="150">
        <v>0.58751941301418564</v>
      </c>
      <c r="D5" s="150">
        <v>0</v>
      </c>
      <c r="E5" s="150">
        <v>0</v>
      </c>
      <c r="F5" s="151">
        <f>ROUND(C5*$I$12,2)</f>
        <v>514438.07</v>
      </c>
      <c r="G5" s="151">
        <f>ROUND(D5*$I$12,2)</f>
        <v>0</v>
      </c>
      <c r="H5" s="151">
        <f>ROUND(E5*$I$12,2)</f>
        <v>0</v>
      </c>
      <c r="I5" s="151">
        <f>SUM(F5:H5)</f>
        <v>514438.07</v>
      </c>
      <c r="J5" s="113"/>
      <c r="K5" s="111">
        <v>29897</v>
      </c>
      <c r="L5" s="110">
        <v>296035265.68000001</v>
      </c>
      <c r="M5" s="110">
        <v>0</v>
      </c>
      <c r="N5" s="116">
        <f>IF(ISERROR(ROUND(F5/K5/12,2)),0,ROUND(F5/K5/12,2))</f>
        <v>1.43</v>
      </c>
      <c r="O5" s="116">
        <v>0</v>
      </c>
      <c r="P5" s="116">
        <v>0</v>
      </c>
    </row>
    <row r="6" spans="1:16" x14ac:dyDescent="0.3">
      <c r="A6" t="s">
        <v>71</v>
      </c>
      <c r="B6" s="103"/>
      <c r="C6" s="150">
        <v>4.4075249138009094E-2</v>
      </c>
      <c r="D6" s="150">
        <v>0.11920629660311464</v>
      </c>
      <c r="E6" s="150">
        <v>0</v>
      </c>
      <c r="F6" s="151">
        <f t="shared" ref="F6:F10" si="0">ROUND(C6*$I$12,2)</f>
        <v>38592.74</v>
      </c>
      <c r="G6" s="151">
        <f t="shared" ref="G6:G10" si="1">ROUND(D6*$I$12,2)</f>
        <v>104378.26</v>
      </c>
      <c r="H6" s="151">
        <f t="shared" ref="H6:H10" si="2">ROUND(E6*$I$12,2)</f>
        <v>0</v>
      </c>
      <c r="I6" s="151">
        <f t="shared" ref="I6:I10" si="3">SUM(F6:H6)</f>
        <v>142971</v>
      </c>
      <c r="J6" s="113"/>
      <c r="K6" s="111">
        <v>3388</v>
      </c>
      <c r="L6" s="110">
        <v>91718380.409999996</v>
      </c>
      <c r="M6" s="110">
        <v>0</v>
      </c>
      <c r="N6" s="116">
        <f t="shared" ref="N6:N10" si="4">IF(ISERROR(ROUND(F6/K6/12,2)),0,ROUND(F6/K6/12,2))</f>
        <v>0.95</v>
      </c>
      <c r="O6" s="116">
        <f>IF(ISERROR(ROUND(G6/L6,4)),0,ROUND(G6/L6,4))</f>
        <v>1.1000000000000001E-3</v>
      </c>
      <c r="P6" s="116">
        <f>IF(ISERROR(ROUND(H6/M6,4)),0,ROUND(H6/M6,4))</f>
        <v>0</v>
      </c>
    </row>
    <row r="7" spans="1:16" x14ac:dyDescent="0.3">
      <c r="A7" t="s">
        <v>72</v>
      </c>
      <c r="B7" s="103"/>
      <c r="C7" s="150">
        <v>2.6004318459018492E-2</v>
      </c>
      <c r="D7" s="150">
        <v>0</v>
      </c>
      <c r="E7" s="150">
        <v>0.20926640733595131</v>
      </c>
      <c r="F7" s="151">
        <f t="shared" si="0"/>
        <v>22769.65</v>
      </c>
      <c r="G7" s="151">
        <f t="shared" si="1"/>
        <v>0</v>
      </c>
      <c r="H7" s="151">
        <f t="shared" si="2"/>
        <v>183235.83</v>
      </c>
      <c r="I7" s="151">
        <f t="shared" si="3"/>
        <v>206005.47999999998</v>
      </c>
      <c r="J7" s="113"/>
      <c r="K7" s="111">
        <v>362</v>
      </c>
      <c r="L7" s="110">
        <v>240708315.94</v>
      </c>
      <c r="M7" s="110">
        <v>594559.68999999994</v>
      </c>
      <c r="N7" s="116">
        <f t="shared" si="4"/>
        <v>5.24</v>
      </c>
      <c r="O7" s="116">
        <f t="shared" ref="O7:O10" si="5">IF(ISERROR(ROUND(G7/L7,4)),0,ROUND(G7/L7,4))</f>
        <v>0</v>
      </c>
      <c r="P7" s="116">
        <f t="shared" ref="P7:P10" si="6">IF(ISERROR(ROUND(H7/M7,4)),0,ROUND(H7/M7,4))</f>
        <v>0.30819999999999997</v>
      </c>
    </row>
    <row r="8" spans="1:16" x14ac:dyDescent="0.3">
      <c r="A8" t="s">
        <v>74</v>
      </c>
      <c r="B8" s="103"/>
      <c r="C8" s="150">
        <v>1.8315665548846873E-4</v>
      </c>
      <c r="D8" s="150">
        <v>1.735616425297437E-3</v>
      </c>
      <c r="E8" s="150">
        <v>0</v>
      </c>
      <c r="F8" s="151">
        <f t="shared" si="0"/>
        <v>160.37</v>
      </c>
      <c r="G8" s="151">
        <f t="shared" si="1"/>
        <v>1519.72</v>
      </c>
      <c r="H8" s="151">
        <f t="shared" si="2"/>
        <v>0</v>
      </c>
      <c r="I8" s="151">
        <f t="shared" si="3"/>
        <v>1680.0900000000001</v>
      </c>
      <c r="J8" s="113"/>
      <c r="K8" s="111">
        <v>23</v>
      </c>
      <c r="L8" s="110">
        <v>866480.04</v>
      </c>
      <c r="M8" s="110">
        <v>0</v>
      </c>
      <c r="N8" s="116">
        <f t="shared" si="4"/>
        <v>0.57999999999999996</v>
      </c>
      <c r="O8" s="116">
        <f t="shared" si="5"/>
        <v>1.8E-3</v>
      </c>
      <c r="P8" s="116">
        <f t="shared" si="6"/>
        <v>0</v>
      </c>
    </row>
    <row r="9" spans="1:16" x14ac:dyDescent="0.3">
      <c r="A9" t="s">
        <v>90</v>
      </c>
      <c r="B9" s="103"/>
      <c r="C9" s="150">
        <v>7.8358094296083526E-4</v>
      </c>
      <c r="D9" s="150">
        <v>0</v>
      </c>
      <c r="E9" s="150">
        <v>1.0492409836406304E-3</v>
      </c>
      <c r="F9" s="151">
        <f t="shared" si="0"/>
        <v>686.11</v>
      </c>
      <c r="G9" s="151">
        <f t="shared" si="1"/>
        <v>0</v>
      </c>
      <c r="H9" s="151">
        <f t="shared" si="2"/>
        <v>918.73</v>
      </c>
      <c r="I9" s="151">
        <f t="shared" si="3"/>
        <v>1604.8400000000001</v>
      </c>
      <c r="J9" s="113"/>
      <c r="K9" s="111">
        <v>351</v>
      </c>
      <c r="L9" s="110">
        <v>206826.03</v>
      </c>
      <c r="M9" s="110">
        <v>605.16</v>
      </c>
      <c r="N9" s="116">
        <f t="shared" si="4"/>
        <v>0.16</v>
      </c>
      <c r="O9" s="116">
        <f t="shared" si="5"/>
        <v>0</v>
      </c>
      <c r="P9" s="116">
        <f t="shared" si="6"/>
        <v>1.5182</v>
      </c>
    </row>
    <row r="10" spans="1:16" x14ac:dyDescent="0.3">
      <c r="A10" t="s">
        <v>73</v>
      </c>
      <c r="B10" s="104"/>
      <c r="C10" s="168">
        <v>6.881860870317078E-3</v>
      </c>
      <c r="D10" s="168">
        <v>0</v>
      </c>
      <c r="E10" s="168">
        <v>3.2948595720163555E-3</v>
      </c>
      <c r="F10" s="169">
        <f t="shared" si="0"/>
        <v>6025.83</v>
      </c>
      <c r="G10" s="169">
        <f t="shared" si="1"/>
        <v>0</v>
      </c>
      <c r="H10" s="169">
        <f t="shared" si="2"/>
        <v>2885.01</v>
      </c>
      <c r="I10" s="169">
        <f t="shared" si="3"/>
        <v>8910.84</v>
      </c>
      <c r="J10" s="113"/>
      <c r="K10" s="170">
        <v>8037</v>
      </c>
      <c r="L10" s="171">
        <v>2410545.9300000002</v>
      </c>
      <c r="M10" s="171">
        <v>7055.84</v>
      </c>
      <c r="N10" s="116">
        <f t="shared" si="4"/>
        <v>0.06</v>
      </c>
      <c r="O10" s="116">
        <f t="shared" si="5"/>
        <v>0</v>
      </c>
      <c r="P10" s="116">
        <f t="shared" si="6"/>
        <v>0.40889999999999999</v>
      </c>
    </row>
    <row r="11" spans="1:16" x14ac:dyDescent="0.3">
      <c r="A11" t="s">
        <v>75</v>
      </c>
      <c r="C11" s="166">
        <v>0.66544757907997965</v>
      </c>
      <c r="D11" s="166">
        <v>0.12094191302841208</v>
      </c>
      <c r="E11" s="166">
        <v>0.21361050789160829</v>
      </c>
      <c r="F11" s="167">
        <v>582672.77</v>
      </c>
      <c r="G11" s="167">
        <v>105897.99</v>
      </c>
      <c r="H11" s="167">
        <v>187039.57</v>
      </c>
      <c r="I11" s="167">
        <f>SUM(I5:I10)</f>
        <v>875610.32</v>
      </c>
      <c r="J11" s="136"/>
      <c r="K11" s="137">
        <v>42058</v>
      </c>
      <c r="L11" s="138">
        <v>631945814.02999985</v>
      </c>
      <c r="M11" s="138">
        <v>602220.68999999994</v>
      </c>
      <c r="N11" s="139"/>
      <c r="O11" s="139"/>
      <c r="P11" s="139"/>
    </row>
    <row r="12" spans="1:16" x14ac:dyDescent="0.3">
      <c r="C12" s="148"/>
      <c r="D12" s="148"/>
      <c r="E12" s="148"/>
      <c r="F12" s="148"/>
      <c r="G12" s="148"/>
      <c r="H12" s="148"/>
      <c r="I12" s="149">
        <v>875610.33</v>
      </c>
      <c r="J12" s="114"/>
      <c r="K12" s="105"/>
      <c r="L12" s="105"/>
      <c r="M12" s="105"/>
    </row>
    <row r="13" spans="1:16" x14ac:dyDescent="0.3">
      <c r="E13" s="105"/>
      <c r="F13" s="105"/>
      <c r="G13" s="105"/>
      <c r="H13" s="105"/>
      <c r="I13" s="105"/>
      <c r="J13" s="114"/>
      <c r="K13" s="105"/>
      <c r="L13" s="105"/>
      <c r="M13" s="105"/>
    </row>
    <row r="14" spans="1:16" ht="15" thickBot="1" x14ac:dyDescent="0.35">
      <c r="E14" s="105"/>
      <c r="F14" s="105"/>
      <c r="G14" s="105"/>
      <c r="H14" s="105"/>
      <c r="I14" s="105"/>
      <c r="J14" s="114"/>
      <c r="K14" s="105"/>
      <c r="L14" s="105"/>
      <c r="M14" s="105"/>
    </row>
    <row r="15" spans="1:16" ht="45" customHeight="1" x14ac:dyDescent="0.3">
      <c r="A15" s="178"/>
      <c r="B15" s="179"/>
      <c r="C15" s="197" t="s">
        <v>100</v>
      </c>
      <c r="D15" s="198"/>
      <c r="E15" s="199" t="s">
        <v>104</v>
      </c>
      <c r="F15" s="198"/>
      <c r="N15" s="105"/>
    </row>
    <row r="16" spans="1:16" ht="45" customHeight="1" x14ac:dyDescent="0.3">
      <c r="A16" s="180"/>
      <c r="B16" s="181"/>
      <c r="C16" s="184" t="s">
        <v>101</v>
      </c>
      <c r="D16" s="185" t="s">
        <v>102</v>
      </c>
      <c r="E16" s="186" t="s">
        <v>101</v>
      </c>
      <c r="F16" s="187" t="s">
        <v>102</v>
      </c>
      <c r="N16" s="105"/>
    </row>
    <row r="17" spans="1:14" x14ac:dyDescent="0.3">
      <c r="A17" s="180" t="s">
        <v>70</v>
      </c>
      <c r="B17" s="181"/>
      <c r="C17" s="188">
        <v>32.130000000000003</v>
      </c>
      <c r="D17" s="187">
        <v>0</v>
      </c>
      <c r="E17" s="186">
        <v>32.68</v>
      </c>
      <c r="F17" s="187">
        <v>0</v>
      </c>
      <c r="N17" s="105"/>
    </row>
    <row r="18" spans="1:14" x14ac:dyDescent="0.3">
      <c r="A18" s="180" t="s">
        <v>71</v>
      </c>
      <c r="B18" s="181"/>
      <c r="C18" s="188">
        <v>21.27</v>
      </c>
      <c r="D18" s="187">
        <v>2.5499999999999998E-2</v>
      </c>
      <c r="E18" s="186">
        <v>21.63</v>
      </c>
      <c r="F18" s="187">
        <v>2.5899999999999999E-2</v>
      </c>
    </row>
    <row r="19" spans="1:14" x14ac:dyDescent="0.3">
      <c r="A19" s="180" t="s">
        <v>72</v>
      </c>
      <c r="B19" s="181"/>
      <c r="C19" s="188">
        <v>117.45</v>
      </c>
      <c r="D19" s="187">
        <v>6.9055999999999997</v>
      </c>
      <c r="E19" s="186">
        <v>119.45</v>
      </c>
      <c r="F19" s="187">
        <v>7.0229999999999997</v>
      </c>
    </row>
    <row r="20" spans="1:14" x14ac:dyDescent="0.3">
      <c r="A20" s="180" t="s">
        <v>74</v>
      </c>
      <c r="B20" s="181"/>
      <c r="C20" s="188">
        <v>13.02</v>
      </c>
      <c r="D20" s="187">
        <v>3.9300000000000002E-2</v>
      </c>
      <c r="E20" s="186">
        <v>13.24</v>
      </c>
      <c r="F20" s="187">
        <v>0.04</v>
      </c>
    </row>
    <row r="21" spans="1:14" x14ac:dyDescent="0.3">
      <c r="A21" s="180" t="s">
        <v>90</v>
      </c>
      <c r="B21" s="181"/>
      <c r="C21" s="188">
        <v>3.65</v>
      </c>
      <c r="D21" s="187">
        <v>34.017499999999998</v>
      </c>
      <c r="E21" s="186">
        <v>3.71</v>
      </c>
      <c r="F21" s="187">
        <v>34.595799999999997</v>
      </c>
    </row>
    <row r="22" spans="1:14" ht="15" thickBot="1" x14ac:dyDescent="0.35">
      <c r="A22" s="182" t="s">
        <v>73</v>
      </c>
      <c r="B22" s="183"/>
      <c r="C22" s="189">
        <v>1.4</v>
      </c>
      <c r="D22" s="190">
        <v>9.1618999999999993</v>
      </c>
      <c r="E22" s="191">
        <v>1.42</v>
      </c>
      <c r="F22" s="190">
        <v>9.3177000000000003</v>
      </c>
    </row>
  </sheetData>
  <mergeCells count="2">
    <mergeCell ref="C15:D15"/>
    <mergeCell ref="E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4"/>
  <sheetViews>
    <sheetView zoomScale="85" zoomScaleNormal="85" workbookViewId="0">
      <selection activeCell="F4" sqref="F4"/>
    </sheetView>
  </sheetViews>
  <sheetFormatPr defaultRowHeight="14.4" x14ac:dyDescent="0.3"/>
  <cols>
    <col min="1" max="1" width="39.6640625" customWidth="1"/>
    <col min="2" max="2" width="6.88671875" bestFit="1" customWidth="1"/>
    <col min="3" max="3" width="9.6640625" customWidth="1"/>
    <col min="4" max="4" width="9" customWidth="1"/>
    <col min="5" max="5" width="18.6640625" customWidth="1"/>
    <col min="6" max="6" width="14.33203125" customWidth="1"/>
    <col min="7" max="7" width="16.88671875" customWidth="1"/>
    <col min="8" max="8" width="12.109375" customWidth="1"/>
    <col min="9" max="9" width="12.6640625" customWidth="1"/>
    <col min="10" max="10" width="13.109375" customWidth="1"/>
    <col min="13" max="13" width="35.6640625" customWidth="1"/>
    <col min="15" max="15" width="12.21875" customWidth="1"/>
    <col min="16" max="16" width="11.77734375" customWidth="1"/>
    <col min="17" max="17" width="17.33203125" customWidth="1"/>
    <col min="19" max="19" width="22.44140625" customWidth="1"/>
    <col min="20" max="20" width="12.6640625" customWidth="1"/>
    <col min="21" max="21" width="11.109375" customWidth="1"/>
    <col min="22" max="22" width="9.33203125" customWidth="1"/>
  </cols>
  <sheetData>
    <row r="1" spans="1:22" x14ac:dyDescent="0.3">
      <c r="A1" s="1" t="s">
        <v>0</v>
      </c>
      <c r="B1" s="200" t="s">
        <v>1</v>
      </c>
      <c r="C1" s="200"/>
      <c r="D1" s="200"/>
      <c r="E1" s="200"/>
      <c r="F1" s="200"/>
      <c r="G1" s="200"/>
      <c r="H1" s="2" t="s">
        <v>2</v>
      </c>
      <c r="I1" s="2"/>
      <c r="J1" s="2"/>
      <c r="M1" s="1" t="s">
        <v>0</v>
      </c>
      <c r="N1" s="200" t="s">
        <v>1</v>
      </c>
      <c r="O1" s="200"/>
      <c r="P1" s="200"/>
      <c r="Q1" s="200"/>
      <c r="R1" s="200"/>
      <c r="S1" s="200"/>
      <c r="T1" s="2" t="s">
        <v>2</v>
      </c>
      <c r="U1" s="2"/>
      <c r="V1" s="2"/>
    </row>
    <row r="2" spans="1:22" x14ac:dyDescent="0.3">
      <c r="A2" s="85" t="s">
        <v>3</v>
      </c>
      <c r="B2" s="201" t="s">
        <v>4</v>
      </c>
      <c r="C2" s="201"/>
      <c r="D2" s="201"/>
      <c r="E2" s="86"/>
      <c r="F2" s="86"/>
      <c r="G2" s="87"/>
      <c r="H2" s="87"/>
      <c r="I2" s="87"/>
      <c r="J2" s="87"/>
      <c r="M2" s="85" t="s">
        <v>3</v>
      </c>
      <c r="N2" s="201" t="s">
        <v>4</v>
      </c>
      <c r="O2" s="201"/>
      <c r="P2" s="201"/>
      <c r="Q2" s="86"/>
      <c r="R2" s="86"/>
      <c r="S2" s="87"/>
      <c r="T2" s="87"/>
      <c r="U2" s="87"/>
      <c r="V2" s="87"/>
    </row>
    <row r="3" spans="1:22" ht="15.6" x14ac:dyDescent="0.3">
      <c r="A3" s="85" t="s">
        <v>5</v>
      </c>
      <c r="B3" s="88">
        <v>750</v>
      </c>
      <c r="C3" s="89" t="s">
        <v>6</v>
      </c>
      <c r="D3" s="90"/>
      <c r="E3" s="98" t="s">
        <v>49</v>
      </c>
      <c r="F3" s="96">
        <v>2.7E-2</v>
      </c>
      <c r="G3" s="91"/>
      <c r="H3" s="97" t="s">
        <v>50</v>
      </c>
      <c r="I3" s="99">
        <f>B3*(1-F3)</f>
        <v>729.75</v>
      </c>
      <c r="J3" s="91"/>
      <c r="M3" s="85" t="s">
        <v>5</v>
      </c>
      <c r="N3" s="88">
        <v>367</v>
      </c>
      <c r="O3" s="89" t="s">
        <v>6</v>
      </c>
      <c r="P3" s="90"/>
      <c r="Q3" s="98" t="s">
        <v>49</v>
      </c>
      <c r="R3" s="96">
        <f>F3</f>
        <v>2.7E-2</v>
      </c>
      <c r="S3" s="91"/>
      <c r="T3" s="97" t="s">
        <v>50</v>
      </c>
      <c r="U3" s="99">
        <f>N3*(1-R3)</f>
        <v>357.09100000000001</v>
      </c>
      <c r="V3" s="91"/>
    </row>
    <row r="4" spans="1:22" ht="15.6" x14ac:dyDescent="0.3">
      <c r="A4" s="85" t="s">
        <v>7</v>
      </c>
      <c r="B4" s="88">
        <v>0</v>
      </c>
      <c r="C4" s="92" t="s">
        <v>8</v>
      </c>
      <c r="D4" s="93"/>
      <c r="E4" s="94"/>
      <c r="F4" s="94"/>
      <c r="G4" s="94"/>
      <c r="H4" s="87"/>
      <c r="I4" s="87"/>
      <c r="J4" s="87"/>
      <c r="M4" s="85" t="s">
        <v>7</v>
      </c>
      <c r="N4" s="88">
        <v>0</v>
      </c>
      <c r="O4" s="92" t="s">
        <v>8</v>
      </c>
      <c r="P4" s="93"/>
      <c r="Q4" s="94"/>
      <c r="R4" s="94"/>
      <c r="S4" s="94"/>
      <c r="T4" s="87"/>
      <c r="U4" s="87"/>
      <c r="V4" s="87"/>
    </row>
    <row r="5" spans="1:22" x14ac:dyDescent="0.3">
      <c r="A5" s="85" t="s">
        <v>9</v>
      </c>
      <c r="B5" s="95">
        <v>1.0481</v>
      </c>
      <c r="C5" s="87"/>
      <c r="D5" s="87"/>
      <c r="E5" s="87" t="s">
        <v>98</v>
      </c>
      <c r="F5" s="96">
        <v>1.9E-2</v>
      </c>
      <c r="G5" s="87"/>
      <c r="H5" s="87"/>
      <c r="I5" s="87"/>
      <c r="J5" s="87"/>
      <c r="M5" s="85" t="s">
        <v>9</v>
      </c>
      <c r="N5" s="95">
        <v>1.0481</v>
      </c>
      <c r="O5" s="87"/>
      <c r="P5" s="87"/>
      <c r="Q5" s="87" t="s">
        <v>98</v>
      </c>
      <c r="R5" s="96">
        <f>F5</f>
        <v>1.9E-2</v>
      </c>
      <c r="S5" s="87"/>
      <c r="T5" s="87"/>
      <c r="U5" s="87"/>
      <c r="V5" s="87"/>
    </row>
    <row r="6" spans="1:22" x14ac:dyDescent="0.3">
      <c r="A6" s="1" t="s">
        <v>10</v>
      </c>
      <c r="B6" s="95">
        <v>1.0481</v>
      </c>
      <c r="C6" s="2"/>
      <c r="D6" s="2"/>
      <c r="E6" s="2"/>
      <c r="F6" s="2"/>
      <c r="G6" s="120"/>
      <c r="H6" s="2"/>
      <c r="I6" s="2"/>
      <c r="J6" s="2"/>
      <c r="M6" s="1" t="s">
        <v>10</v>
      </c>
      <c r="N6" s="95">
        <v>1.0481</v>
      </c>
      <c r="O6" s="2"/>
      <c r="P6" s="2"/>
      <c r="Q6" s="2"/>
      <c r="R6" s="2"/>
      <c r="S6" s="120"/>
      <c r="T6" s="2"/>
      <c r="U6" s="2"/>
      <c r="V6" s="2"/>
    </row>
    <row r="7" spans="1:22" x14ac:dyDescent="0.3">
      <c r="A7" s="3"/>
      <c r="B7" s="2"/>
      <c r="C7" s="2"/>
      <c r="D7" s="2"/>
      <c r="E7" s="2"/>
      <c r="F7" s="2"/>
      <c r="G7" s="2"/>
      <c r="H7" s="2"/>
      <c r="I7" s="2"/>
      <c r="J7" s="2"/>
      <c r="M7" s="3"/>
      <c r="N7" s="2"/>
      <c r="O7" s="2"/>
      <c r="P7" s="2"/>
      <c r="Q7" s="2"/>
      <c r="R7" s="2"/>
      <c r="S7" s="2"/>
      <c r="T7" s="2"/>
      <c r="U7" s="2"/>
      <c r="V7" s="2"/>
    </row>
    <row r="8" spans="1:22" x14ac:dyDescent="0.3">
      <c r="A8" s="3"/>
      <c r="B8" s="5"/>
      <c r="C8" s="202" t="s">
        <v>103</v>
      </c>
      <c r="D8" s="203"/>
      <c r="E8" s="204"/>
      <c r="F8" s="205" t="s">
        <v>93</v>
      </c>
      <c r="G8" s="203"/>
      <c r="H8" s="204"/>
      <c r="I8" s="202" t="s">
        <v>11</v>
      </c>
      <c r="J8" s="204"/>
      <c r="M8" s="3"/>
      <c r="N8" s="5"/>
      <c r="O8" s="202" t="s">
        <v>103</v>
      </c>
      <c r="P8" s="203"/>
      <c r="Q8" s="204"/>
      <c r="R8" s="205" t="s">
        <v>93</v>
      </c>
      <c r="S8" s="203"/>
      <c r="T8" s="204"/>
      <c r="U8" s="202" t="s">
        <v>11</v>
      </c>
      <c r="V8" s="204"/>
    </row>
    <row r="9" spans="1:22" x14ac:dyDescent="0.3">
      <c r="A9" s="3"/>
      <c r="B9" s="206"/>
      <c r="C9" s="6" t="s">
        <v>12</v>
      </c>
      <c r="D9" s="6" t="s">
        <v>13</v>
      </c>
      <c r="E9" s="7" t="s">
        <v>14</v>
      </c>
      <c r="F9" s="6" t="s">
        <v>12</v>
      </c>
      <c r="G9" s="8" t="s">
        <v>13</v>
      </c>
      <c r="H9" s="7" t="s">
        <v>14</v>
      </c>
      <c r="I9" s="208" t="s">
        <v>15</v>
      </c>
      <c r="J9" s="210" t="s">
        <v>16</v>
      </c>
      <c r="M9" s="3"/>
      <c r="N9" s="206"/>
      <c r="O9" s="6" t="s">
        <v>12</v>
      </c>
      <c r="P9" s="6" t="s">
        <v>13</v>
      </c>
      <c r="Q9" s="7" t="s">
        <v>14</v>
      </c>
      <c r="R9" s="6" t="s">
        <v>12</v>
      </c>
      <c r="S9" s="8" t="s">
        <v>13</v>
      </c>
      <c r="T9" s="7" t="s">
        <v>14</v>
      </c>
      <c r="U9" s="208" t="s">
        <v>15</v>
      </c>
      <c r="V9" s="210" t="s">
        <v>16</v>
      </c>
    </row>
    <row r="10" spans="1:22" x14ac:dyDescent="0.3">
      <c r="A10" s="3"/>
      <c r="B10" s="207"/>
      <c r="C10" s="9" t="s">
        <v>17</v>
      </c>
      <c r="D10" s="9"/>
      <c r="E10" s="10" t="s">
        <v>17</v>
      </c>
      <c r="F10" s="9" t="s">
        <v>17</v>
      </c>
      <c r="G10" s="10"/>
      <c r="H10" s="10" t="s">
        <v>17</v>
      </c>
      <c r="I10" s="209"/>
      <c r="J10" s="211"/>
      <c r="M10" s="3"/>
      <c r="N10" s="207"/>
      <c r="O10" s="9" t="s">
        <v>17</v>
      </c>
      <c r="P10" s="9"/>
      <c r="Q10" s="10" t="s">
        <v>17</v>
      </c>
      <c r="R10" s="9" t="s">
        <v>17</v>
      </c>
      <c r="S10" s="10"/>
      <c r="T10" s="10" t="s">
        <v>17</v>
      </c>
      <c r="U10" s="209"/>
      <c r="V10" s="211"/>
    </row>
    <row r="11" spans="1:22" x14ac:dyDescent="0.3">
      <c r="A11" s="11" t="s">
        <v>18</v>
      </c>
      <c r="B11" s="12"/>
      <c r="C11" s="13">
        <f>Rates!E17</f>
        <v>32.68</v>
      </c>
      <c r="D11" s="14">
        <v>1</v>
      </c>
      <c r="E11" s="15">
        <f>C11*D11</f>
        <v>32.68</v>
      </c>
      <c r="F11" s="16">
        <f>C11*(1+F5)</f>
        <v>33.300919999999998</v>
      </c>
      <c r="G11" s="17">
        <v>1</v>
      </c>
      <c r="H11" s="15">
        <f>F11*G11</f>
        <v>33.300919999999998</v>
      </c>
      <c r="I11" s="18">
        <f>+H11-E11</f>
        <v>0.62091999999999814</v>
      </c>
      <c r="J11" s="19">
        <f>IF(ISERROR(I11/E11),"",I11/E11)</f>
        <v>1.8999999999999944E-2</v>
      </c>
      <c r="M11" s="11" t="s">
        <v>18</v>
      </c>
      <c r="N11" s="12"/>
      <c r="O11" s="13">
        <f>C11</f>
        <v>32.68</v>
      </c>
      <c r="P11" s="14">
        <v>1</v>
      </c>
      <c r="Q11" s="15">
        <f>O11*P11</f>
        <v>32.68</v>
      </c>
      <c r="R11" s="16">
        <f>O11*(1+R5)</f>
        <v>33.300919999999998</v>
      </c>
      <c r="S11" s="17">
        <v>1</v>
      </c>
      <c r="T11" s="15">
        <f>R11*S11</f>
        <v>33.300919999999998</v>
      </c>
      <c r="U11" s="18">
        <f>+T11-Q11</f>
        <v>0.62091999999999814</v>
      </c>
      <c r="V11" s="19">
        <f>IF(ISERROR(U11/Q11),"",U11/Q11)</f>
        <v>1.8999999999999944E-2</v>
      </c>
    </row>
    <row r="12" spans="1:22" x14ac:dyDescent="0.3">
      <c r="A12" s="11" t="s">
        <v>19</v>
      </c>
      <c r="B12" s="12"/>
      <c r="C12" s="20"/>
      <c r="D12" s="14">
        <f>IF($B$4&gt;0,$B$4,$B$3)</f>
        <v>750</v>
      </c>
      <c r="E12" s="15">
        <f t="shared" ref="E12:E15" si="0">C12*D12</f>
        <v>0</v>
      </c>
      <c r="F12" s="21">
        <f>C12</f>
        <v>0</v>
      </c>
      <c r="G12" s="100">
        <f>+$I$3</f>
        <v>729.75</v>
      </c>
      <c r="H12" s="15">
        <f t="shared" ref="H12:H15" si="1">F12*G12</f>
        <v>0</v>
      </c>
      <c r="I12" s="18">
        <f t="shared" ref="I12:I39" si="2">+H12-E12</f>
        <v>0</v>
      </c>
      <c r="J12" s="19" t="str">
        <f t="shared" ref="J12:J39" si="3">IF(ISERROR(I12/E12),"",I12/E12)</f>
        <v/>
      </c>
      <c r="M12" s="11" t="s">
        <v>19</v>
      </c>
      <c r="N12" s="12"/>
      <c r="O12" s="20"/>
      <c r="P12" s="14">
        <f>IF($N$4&gt;0,$N$4,$N$3)</f>
        <v>367</v>
      </c>
      <c r="Q12" s="15">
        <f t="shared" ref="Q12:Q16" si="4">O12*P12</f>
        <v>0</v>
      </c>
      <c r="R12" s="21">
        <f>O12</f>
        <v>0</v>
      </c>
      <c r="S12" s="100">
        <f>+$U$3</f>
        <v>357.09100000000001</v>
      </c>
      <c r="T12" s="15">
        <f t="shared" ref="T12:T16" si="5">R12*S12</f>
        <v>0</v>
      </c>
      <c r="U12" s="18">
        <f t="shared" ref="U12:U17" si="6">+T12-Q12</f>
        <v>0</v>
      </c>
      <c r="V12" s="19" t="str">
        <f t="shared" ref="V12:V14" si="7">IF(ISERROR(U12/Q12),"",U12/Q12)</f>
        <v/>
      </c>
    </row>
    <row r="13" spans="1:22" x14ac:dyDescent="0.3">
      <c r="A13" s="11" t="s">
        <v>20</v>
      </c>
      <c r="B13" s="12"/>
      <c r="C13" s="20">
        <v>0</v>
      </c>
      <c r="D13" s="14">
        <f>IF($B$4&gt;0,$B$4,$B$3)</f>
        <v>750</v>
      </c>
      <c r="E13" s="15">
        <f t="shared" si="0"/>
        <v>0</v>
      </c>
      <c r="F13" s="21"/>
      <c r="G13" s="100">
        <f>+$I$3</f>
        <v>729.75</v>
      </c>
      <c r="H13" s="15">
        <f t="shared" si="1"/>
        <v>0</v>
      </c>
      <c r="I13" s="18">
        <f t="shared" si="2"/>
        <v>0</v>
      </c>
      <c r="J13" s="19" t="str">
        <f t="shared" si="3"/>
        <v/>
      </c>
      <c r="M13" s="11" t="s">
        <v>20</v>
      </c>
      <c r="N13" s="12"/>
      <c r="O13" s="20">
        <v>0</v>
      </c>
      <c r="P13" s="14">
        <f>IF($N$4&gt;0,$N$4,$N$3)</f>
        <v>367</v>
      </c>
      <c r="Q13" s="15">
        <f t="shared" si="4"/>
        <v>0</v>
      </c>
      <c r="R13" s="21"/>
      <c r="S13" s="100">
        <f>+$U$3</f>
        <v>357.09100000000001</v>
      </c>
      <c r="T13" s="15">
        <f t="shared" si="5"/>
        <v>0</v>
      </c>
      <c r="U13" s="18">
        <f t="shared" si="6"/>
        <v>0</v>
      </c>
      <c r="V13" s="19" t="str">
        <f t="shared" si="7"/>
        <v/>
      </c>
    </row>
    <row r="14" spans="1:22" x14ac:dyDescent="0.3">
      <c r="A14" s="11" t="s">
        <v>21</v>
      </c>
      <c r="B14" s="12"/>
      <c r="C14" s="20">
        <v>0</v>
      </c>
      <c r="D14" s="14">
        <f>IF($B$4&gt;0,$B$4,$B$3)</f>
        <v>750</v>
      </c>
      <c r="E14" s="15">
        <f t="shared" si="0"/>
        <v>0</v>
      </c>
      <c r="F14" s="21"/>
      <c r="G14" s="118">
        <f t="shared" ref="G14" si="8">+$I$3</f>
        <v>729.75</v>
      </c>
      <c r="H14" s="15">
        <f t="shared" si="1"/>
        <v>0</v>
      </c>
      <c r="I14" s="18">
        <f t="shared" si="2"/>
        <v>0</v>
      </c>
      <c r="J14" s="19" t="str">
        <f t="shared" si="3"/>
        <v/>
      </c>
      <c r="M14" s="11" t="s">
        <v>21</v>
      </c>
      <c r="N14" s="12"/>
      <c r="O14" s="20">
        <v>0</v>
      </c>
      <c r="P14" s="14">
        <f>IF($N$4&gt;0,$N$4,$N$3)</f>
        <v>367</v>
      </c>
      <c r="Q14" s="15">
        <f t="shared" si="4"/>
        <v>0</v>
      </c>
      <c r="R14" s="21"/>
      <c r="S14" s="100">
        <f>+$U$3</f>
        <v>357.09100000000001</v>
      </c>
      <c r="T14" s="15">
        <f t="shared" si="5"/>
        <v>0</v>
      </c>
      <c r="U14" s="18">
        <f t="shared" si="6"/>
        <v>0</v>
      </c>
      <c r="V14" s="19" t="str">
        <f t="shared" si="7"/>
        <v/>
      </c>
    </row>
    <row r="15" spans="1:22" x14ac:dyDescent="0.3">
      <c r="A15" s="22" t="s">
        <v>22</v>
      </c>
      <c r="B15" s="12"/>
      <c r="C15" s="13">
        <v>0.39</v>
      </c>
      <c r="D15" s="14">
        <v>1</v>
      </c>
      <c r="E15" s="15">
        <f t="shared" si="0"/>
        <v>0.39</v>
      </c>
      <c r="F15" s="16">
        <v>0.39</v>
      </c>
      <c r="G15" s="17">
        <v>1</v>
      </c>
      <c r="H15" s="15">
        <f t="shared" si="1"/>
        <v>0.39</v>
      </c>
      <c r="I15" s="18">
        <f t="shared" si="2"/>
        <v>0</v>
      </c>
      <c r="J15" s="19">
        <f>IF(ISERROR(I15/E15),"",I15/E15)</f>
        <v>0</v>
      </c>
      <c r="M15" s="22" t="s">
        <v>22</v>
      </c>
      <c r="N15" s="12"/>
      <c r="O15" s="13">
        <v>0.39</v>
      </c>
      <c r="P15" s="14">
        <v>1</v>
      </c>
      <c r="Q15" s="15">
        <f t="shared" si="4"/>
        <v>0.39</v>
      </c>
      <c r="R15" s="16">
        <v>0.39</v>
      </c>
      <c r="S15" s="17">
        <v>1</v>
      </c>
      <c r="T15" s="15">
        <f t="shared" si="5"/>
        <v>0.39</v>
      </c>
      <c r="U15" s="18">
        <f t="shared" si="6"/>
        <v>0</v>
      </c>
      <c r="V15" s="19">
        <f>IF(ISERROR(U15/Q15),"",U15/Q15)</f>
        <v>0</v>
      </c>
    </row>
    <row r="16" spans="1:22" x14ac:dyDescent="0.3">
      <c r="A16" s="117" t="s">
        <v>78</v>
      </c>
      <c r="B16" s="12"/>
      <c r="C16" s="13">
        <v>0</v>
      </c>
      <c r="D16" s="14">
        <v>1</v>
      </c>
      <c r="E16" s="15">
        <f t="shared" ref="E16" si="9">C16*D16</f>
        <v>0</v>
      </c>
      <c r="F16" s="16">
        <f>Rates!N5</f>
        <v>1.43</v>
      </c>
      <c r="G16" s="17">
        <v>1</v>
      </c>
      <c r="H16" s="15">
        <f t="shared" ref="H16" si="10">F16*G16</f>
        <v>1.43</v>
      </c>
      <c r="I16" s="18">
        <f t="shared" ref="I16" si="11">+H16-E16</f>
        <v>1.43</v>
      </c>
      <c r="J16" s="19" t="str">
        <f>IF(ISERROR(I16/E16),"",I16/E16)</f>
        <v/>
      </c>
      <c r="M16" s="117" t="s">
        <v>78</v>
      </c>
      <c r="N16" s="12"/>
      <c r="O16" s="13">
        <v>0</v>
      </c>
      <c r="P16" s="14">
        <v>1</v>
      </c>
      <c r="Q16" s="15">
        <f t="shared" si="4"/>
        <v>0</v>
      </c>
      <c r="R16" s="16">
        <f>F16</f>
        <v>1.43</v>
      </c>
      <c r="S16" s="17">
        <v>1</v>
      </c>
      <c r="T16" s="15">
        <f t="shared" si="5"/>
        <v>1.43</v>
      </c>
      <c r="U16" s="18">
        <f t="shared" si="6"/>
        <v>1.43</v>
      </c>
      <c r="V16" s="19" t="str">
        <f>IF(ISERROR(U16/Q16),"",U16/Q16)</f>
        <v/>
      </c>
    </row>
    <row r="17" spans="1:22" x14ac:dyDescent="0.3">
      <c r="A17" s="22" t="s">
        <v>23</v>
      </c>
      <c r="B17" s="143"/>
      <c r="C17" s="52">
        <v>0</v>
      </c>
      <c r="D17" s="14">
        <f>IF($B$4&gt;0,$B$4,$B$3)</f>
        <v>750</v>
      </c>
      <c r="E17" s="144">
        <v>0</v>
      </c>
      <c r="F17" s="54"/>
      <c r="G17" s="146">
        <f>+$I$3</f>
        <v>729.75</v>
      </c>
      <c r="H17" s="144">
        <v>0</v>
      </c>
      <c r="I17" s="76">
        <f t="shared" si="2"/>
        <v>0</v>
      </c>
      <c r="J17" s="145" t="str">
        <f t="shared" si="3"/>
        <v/>
      </c>
      <c r="M17" s="22" t="s">
        <v>23</v>
      </c>
      <c r="N17" s="143"/>
      <c r="O17" s="52">
        <v>0</v>
      </c>
      <c r="P17" s="14">
        <f>IF($N$4&gt;0,$N$4,$N$3)</f>
        <v>367</v>
      </c>
      <c r="Q17" s="144">
        <v>0</v>
      </c>
      <c r="R17" s="54"/>
      <c r="S17" s="100">
        <f>+$U$3</f>
        <v>357.09100000000001</v>
      </c>
      <c r="T17" s="144">
        <v>0</v>
      </c>
      <c r="U17" s="76">
        <f t="shared" si="6"/>
        <v>0</v>
      </c>
      <c r="V17" s="145" t="str">
        <f t="shared" ref="V17" si="12">IF(ISERROR(U17/Q17),"",U17/Q17)</f>
        <v/>
      </c>
    </row>
    <row r="18" spans="1:22" x14ac:dyDescent="0.3">
      <c r="A18" s="23" t="s">
        <v>24</v>
      </c>
      <c r="B18" s="24"/>
      <c r="C18" s="25"/>
      <c r="D18" s="26"/>
      <c r="E18" s="27">
        <f>SUM(E11:E17)</f>
        <v>33.07</v>
      </c>
      <c r="F18" s="28"/>
      <c r="G18" s="29"/>
      <c r="H18" s="27">
        <f>SUM(H11:H17)</f>
        <v>35.120919999999998</v>
      </c>
      <c r="I18" s="30">
        <f>SUM(I11:I17)</f>
        <v>2.0509199999999979</v>
      </c>
      <c r="J18" s="31">
        <f>IF((E18)=0,"",(I18/E18))</f>
        <v>6.2017538554581128E-2</v>
      </c>
      <c r="M18" s="23" t="s">
        <v>24</v>
      </c>
      <c r="N18" s="24"/>
      <c r="O18" s="25"/>
      <c r="P18" s="26"/>
      <c r="Q18" s="27">
        <f>SUM(Q11:Q17)</f>
        <v>33.07</v>
      </c>
      <c r="R18" s="28"/>
      <c r="S18" s="29"/>
      <c r="T18" s="27">
        <f>SUM(T11:T17)</f>
        <v>35.120919999999998</v>
      </c>
      <c r="U18" s="30">
        <f>SUM(U11:U17)</f>
        <v>2.0509199999999979</v>
      </c>
      <c r="V18" s="31">
        <f>IF((Q18)=0,"",(U18/Q18))</f>
        <v>6.2017538554581128E-2</v>
      </c>
    </row>
    <row r="19" spans="1:22" x14ac:dyDescent="0.3">
      <c r="A19" s="32" t="s">
        <v>25</v>
      </c>
      <c r="B19" s="12"/>
      <c r="C19" s="140">
        <f>C35*0.64+C36*0.18+C37*0.18</f>
        <v>0.128</v>
      </c>
      <c r="D19" s="33">
        <f>IF(C19=0,0,$B$3*B5-B3)</f>
        <v>36.075000000000045</v>
      </c>
      <c r="E19" s="15">
        <f>C19*D19</f>
        <v>4.6176000000000057</v>
      </c>
      <c r="F19" s="140">
        <f>F35*0.64+F36*0.18+F37*0.18</f>
        <v>0.128</v>
      </c>
      <c r="G19" s="33">
        <f>IF(F19=0,0,$I$3*B6-I3)</f>
        <v>35.100975000000062</v>
      </c>
      <c r="H19" s="15">
        <f t="shared" ref="H19:H26" si="13">F19*G19</f>
        <v>4.4929248000000079</v>
      </c>
      <c r="I19" s="18">
        <f t="shared" si="2"/>
        <v>-0.12467519999999777</v>
      </c>
      <c r="J19" s="19">
        <f t="shared" si="3"/>
        <v>-2.6999999999999483E-2</v>
      </c>
      <c r="M19" s="32" t="s">
        <v>25</v>
      </c>
      <c r="N19" s="12"/>
      <c r="O19" s="140">
        <f>O35*0.64+O36*0.18+O37*0.18</f>
        <v>0.128</v>
      </c>
      <c r="P19" s="33">
        <f>IF(O19=0,0,$N$3*N5-N3)</f>
        <v>17.652700000000038</v>
      </c>
      <c r="Q19" s="15">
        <f>O19*P19</f>
        <v>2.2595456000000049</v>
      </c>
      <c r="R19" s="140">
        <f>R35*0.64+R36*0.18+R37*0.18</f>
        <v>0.128</v>
      </c>
      <c r="S19" s="33">
        <f>IF(R19=0,0,$U$3*N6-U3)</f>
        <v>17.176077099999986</v>
      </c>
      <c r="T19" s="15">
        <f t="shared" ref="T19" si="14">R19*S19</f>
        <v>2.1985378687999981</v>
      </c>
      <c r="U19" s="18">
        <f t="shared" ref="U19:U26" si="15">+T19-Q19</f>
        <v>-6.1007731200006798E-2</v>
      </c>
      <c r="V19" s="19">
        <f t="shared" ref="V19:V26" si="16">IF(ISERROR(U19/Q19),"",U19/Q19)</f>
        <v>-2.7000000000002949E-2</v>
      </c>
    </row>
    <row r="20" spans="1:22" ht="26.4" x14ac:dyDescent="0.3">
      <c r="A20" s="32" t="s">
        <v>26</v>
      </c>
      <c r="B20" s="143"/>
      <c r="C20" s="20">
        <v>0</v>
      </c>
      <c r="D20" s="34">
        <f t="shared" ref="D20:D23" si="17">IF($B$4&gt;0,$B$4,$B$3)</f>
        <v>750</v>
      </c>
      <c r="E20" s="144">
        <v>0</v>
      </c>
      <c r="F20" s="54">
        <f>C20</f>
        <v>0</v>
      </c>
      <c r="G20" s="34">
        <f t="shared" ref="G20:G23" si="18">+$I$3</f>
        <v>729.75</v>
      </c>
      <c r="H20" s="144">
        <v>0</v>
      </c>
      <c r="I20" s="76">
        <f t="shared" si="2"/>
        <v>0</v>
      </c>
      <c r="J20" s="145" t="str">
        <f t="shared" si="3"/>
        <v/>
      </c>
      <c r="M20" s="32" t="s">
        <v>26</v>
      </c>
      <c r="N20" s="143"/>
      <c r="O20" s="20">
        <v>0</v>
      </c>
      <c r="P20" s="14">
        <f>IF($N$4&gt;0,$N$4,$N$3)</f>
        <v>367</v>
      </c>
      <c r="Q20" s="144">
        <v>0</v>
      </c>
      <c r="R20" s="54">
        <f>O20</f>
        <v>0</v>
      </c>
      <c r="S20" s="100">
        <f>+$U$3</f>
        <v>357.09100000000001</v>
      </c>
      <c r="T20" s="144">
        <v>0</v>
      </c>
      <c r="U20" s="76">
        <f t="shared" si="15"/>
        <v>0</v>
      </c>
      <c r="V20" s="145" t="str">
        <f t="shared" si="16"/>
        <v/>
      </c>
    </row>
    <row r="21" spans="1:22" x14ac:dyDescent="0.3">
      <c r="A21" s="32" t="s">
        <v>27</v>
      </c>
      <c r="B21" s="12"/>
      <c r="C21" s="20">
        <v>0</v>
      </c>
      <c r="D21" s="34">
        <f t="shared" si="17"/>
        <v>750</v>
      </c>
      <c r="E21" s="15">
        <f t="shared" ref="E21:E26" si="19">C21*D21</f>
        <v>0</v>
      </c>
      <c r="F21" s="21">
        <v>0</v>
      </c>
      <c r="G21" s="34">
        <f t="shared" si="18"/>
        <v>729.75</v>
      </c>
      <c r="H21" s="15">
        <f t="shared" si="13"/>
        <v>0</v>
      </c>
      <c r="I21" s="18">
        <f t="shared" si="2"/>
        <v>0</v>
      </c>
      <c r="J21" s="19" t="str">
        <f t="shared" si="3"/>
        <v/>
      </c>
      <c r="M21" s="32" t="s">
        <v>27</v>
      </c>
      <c r="N21" s="12"/>
      <c r="O21" s="20">
        <v>0</v>
      </c>
      <c r="P21" s="14">
        <f>IF($N$4&gt;0,$N$4,$N$3)</f>
        <v>367</v>
      </c>
      <c r="Q21" s="15">
        <f t="shared" ref="Q21:Q26" si="20">O21*P21</f>
        <v>0</v>
      </c>
      <c r="R21" s="21">
        <v>0</v>
      </c>
      <c r="S21" s="100">
        <f>+$U$3</f>
        <v>357.09100000000001</v>
      </c>
      <c r="T21" s="15">
        <f t="shared" ref="T21:T26" si="21">R21*S21</f>
        <v>0</v>
      </c>
      <c r="U21" s="18">
        <f t="shared" si="15"/>
        <v>0</v>
      </c>
      <c r="V21" s="19" t="str">
        <f t="shared" si="16"/>
        <v/>
      </c>
    </row>
    <row r="22" spans="1:22" x14ac:dyDescent="0.3">
      <c r="A22" s="32" t="s">
        <v>28</v>
      </c>
      <c r="B22" s="12"/>
      <c r="C22" s="20">
        <v>0</v>
      </c>
      <c r="D22" s="34">
        <f t="shared" si="17"/>
        <v>750</v>
      </c>
      <c r="E22" s="15">
        <f t="shared" si="19"/>
        <v>0</v>
      </c>
      <c r="F22" s="21">
        <v>0</v>
      </c>
      <c r="G22" s="34">
        <f t="shared" si="18"/>
        <v>729.75</v>
      </c>
      <c r="H22" s="15">
        <f t="shared" si="13"/>
        <v>0</v>
      </c>
      <c r="I22" s="18">
        <f t="shared" si="2"/>
        <v>0</v>
      </c>
      <c r="J22" s="19" t="str">
        <f t="shared" si="3"/>
        <v/>
      </c>
      <c r="M22" s="32" t="s">
        <v>28</v>
      </c>
      <c r="N22" s="12"/>
      <c r="O22" s="20">
        <v>0</v>
      </c>
      <c r="P22" s="14">
        <f>IF($N$4&gt;0,$N$4,$N$3)</f>
        <v>367</v>
      </c>
      <c r="Q22" s="15">
        <f t="shared" si="20"/>
        <v>0</v>
      </c>
      <c r="R22" s="21">
        <v>0</v>
      </c>
      <c r="S22" s="100">
        <f>+$U$3</f>
        <v>357.09100000000001</v>
      </c>
      <c r="T22" s="15">
        <f t="shared" si="21"/>
        <v>0</v>
      </c>
      <c r="U22" s="18">
        <f t="shared" si="15"/>
        <v>0</v>
      </c>
      <c r="V22" s="19" t="str">
        <f t="shared" si="16"/>
        <v/>
      </c>
    </row>
    <row r="23" spans="1:22" x14ac:dyDescent="0.3">
      <c r="A23" s="35" t="s">
        <v>29</v>
      </c>
      <c r="B23" s="12"/>
      <c r="C23" s="20">
        <v>0</v>
      </c>
      <c r="D23" s="34">
        <f t="shared" si="17"/>
        <v>750</v>
      </c>
      <c r="E23" s="15">
        <f t="shared" si="19"/>
        <v>0</v>
      </c>
      <c r="F23" s="21">
        <v>0</v>
      </c>
      <c r="G23" s="34">
        <f t="shared" si="18"/>
        <v>729.75</v>
      </c>
      <c r="H23" s="15">
        <f t="shared" si="13"/>
        <v>0</v>
      </c>
      <c r="I23" s="18">
        <f t="shared" si="2"/>
        <v>0</v>
      </c>
      <c r="J23" s="19" t="str">
        <f t="shared" si="3"/>
        <v/>
      </c>
      <c r="M23" s="35" t="s">
        <v>29</v>
      </c>
      <c r="N23" s="12"/>
      <c r="O23" s="20">
        <v>0</v>
      </c>
      <c r="P23" s="14">
        <f>IF($N$4&gt;0,$N$4,$N$3)</f>
        <v>367</v>
      </c>
      <c r="Q23" s="15">
        <f t="shared" si="20"/>
        <v>0</v>
      </c>
      <c r="R23" s="21">
        <v>0</v>
      </c>
      <c r="S23" s="100">
        <f>+$U$3</f>
        <v>357.09100000000001</v>
      </c>
      <c r="T23" s="15">
        <f t="shared" si="21"/>
        <v>0</v>
      </c>
      <c r="U23" s="18">
        <f t="shared" si="15"/>
        <v>0</v>
      </c>
      <c r="V23" s="19" t="str">
        <f t="shared" si="16"/>
        <v/>
      </c>
    </row>
    <row r="24" spans="1:22" x14ac:dyDescent="0.3">
      <c r="A24" s="36" t="s">
        <v>30</v>
      </c>
      <c r="B24" s="12"/>
      <c r="C24" s="37">
        <v>0.56999999999999995</v>
      </c>
      <c r="D24" s="14">
        <v>1</v>
      </c>
      <c r="E24" s="15">
        <f t="shared" si="19"/>
        <v>0.56999999999999995</v>
      </c>
      <c r="F24" s="38">
        <v>0.56999999999999995</v>
      </c>
      <c r="G24" s="14">
        <v>1</v>
      </c>
      <c r="H24" s="15">
        <f t="shared" si="13"/>
        <v>0.56999999999999995</v>
      </c>
      <c r="I24" s="18">
        <f t="shared" si="2"/>
        <v>0</v>
      </c>
      <c r="J24" s="19">
        <f t="shared" si="3"/>
        <v>0</v>
      </c>
      <c r="M24" s="36" t="s">
        <v>30</v>
      </c>
      <c r="N24" s="12"/>
      <c r="O24" s="37">
        <v>0.56999999999999995</v>
      </c>
      <c r="P24" s="14">
        <v>1</v>
      </c>
      <c r="Q24" s="15">
        <f t="shared" si="20"/>
        <v>0.56999999999999995</v>
      </c>
      <c r="R24" s="38">
        <v>0.56999999999999995</v>
      </c>
      <c r="S24" s="14">
        <v>1</v>
      </c>
      <c r="T24" s="15">
        <f t="shared" si="21"/>
        <v>0.56999999999999995</v>
      </c>
      <c r="U24" s="18">
        <f t="shared" si="15"/>
        <v>0</v>
      </c>
      <c r="V24" s="19">
        <f t="shared" si="16"/>
        <v>0</v>
      </c>
    </row>
    <row r="25" spans="1:22" x14ac:dyDescent="0.3">
      <c r="A25" s="35" t="s">
        <v>31</v>
      </c>
      <c r="B25" s="12"/>
      <c r="C25" s="13">
        <v>0</v>
      </c>
      <c r="D25" s="14">
        <v>1</v>
      </c>
      <c r="E25" s="15">
        <f t="shared" si="19"/>
        <v>0</v>
      </c>
      <c r="F25" s="16">
        <v>0</v>
      </c>
      <c r="G25" s="14">
        <v>1</v>
      </c>
      <c r="H25" s="15">
        <f t="shared" si="13"/>
        <v>0</v>
      </c>
      <c r="I25" s="18">
        <f t="shared" si="2"/>
        <v>0</v>
      </c>
      <c r="J25" s="19" t="str">
        <f t="shared" si="3"/>
        <v/>
      </c>
      <c r="M25" s="35" t="s">
        <v>31</v>
      </c>
      <c r="N25" s="12"/>
      <c r="O25" s="13">
        <v>0</v>
      </c>
      <c r="P25" s="14">
        <v>1</v>
      </c>
      <c r="Q25" s="15">
        <f t="shared" si="20"/>
        <v>0</v>
      </c>
      <c r="R25" s="16">
        <v>0</v>
      </c>
      <c r="S25" s="14">
        <v>1</v>
      </c>
      <c r="T25" s="15">
        <f t="shared" si="21"/>
        <v>0</v>
      </c>
      <c r="U25" s="18">
        <f t="shared" si="15"/>
        <v>0</v>
      </c>
      <c r="V25" s="19" t="str">
        <f t="shared" si="16"/>
        <v/>
      </c>
    </row>
    <row r="26" spans="1:22" x14ac:dyDescent="0.3">
      <c r="A26" s="35" t="s">
        <v>32</v>
      </c>
      <c r="B26" s="12"/>
      <c r="C26" s="20">
        <v>-4.0000000000000002E-4</v>
      </c>
      <c r="D26" s="34">
        <f>IF($B$4&gt;0,$B$4,$B$3)</f>
        <v>750</v>
      </c>
      <c r="E26" s="15">
        <f t="shared" si="19"/>
        <v>-0.3</v>
      </c>
      <c r="F26" s="21">
        <v>-4.0000000000000002E-4</v>
      </c>
      <c r="G26" s="34">
        <f>+$I$3</f>
        <v>729.75</v>
      </c>
      <c r="H26" s="15">
        <f t="shared" si="13"/>
        <v>-0.29189999999999999</v>
      </c>
      <c r="I26" s="18">
        <f t="shared" si="2"/>
        <v>8.0999999999999961E-3</v>
      </c>
      <c r="J26" s="19">
        <f t="shared" si="3"/>
        <v>-2.6999999999999989E-2</v>
      </c>
      <c r="M26" s="35" t="s">
        <v>32</v>
      </c>
      <c r="N26" s="12"/>
      <c r="O26" s="20">
        <v>-4.0000000000000002E-4</v>
      </c>
      <c r="P26" s="14">
        <f>IF($N$4&gt;0,$N$4,$N$3)</f>
        <v>367</v>
      </c>
      <c r="Q26" s="15">
        <f t="shared" si="20"/>
        <v>-0.14680000000000001</v>
      </c>
      <c r="R26" s="21">
        <v>-4.0000000000000002E-4</v>
      </c>
      <c r="S26" s="100">
        <f>+$U$3</f>
        <v>357.09100000000001</v>
      </c>
      <c r="T26" s="15">
        <f t="shared" si="21"/>
        <v>-0.1428364</v>
      </c>
      <c r="U26" s="18">
        <f t="shared" si="15"/>
        <v>3.9636000000000116E-3</v>
      </c>
      <c r="V26" s="19">
        <f t="shared" si="16"/>
        <v>-2.7000000000000076E-2</v>
      </c>
    </row>
    <row r="27" spans="1:22" ht="26.4" x14ac:dyDescent="0.3">
      <c r="A27" s="39" t="s">
        <v>33</v>
      </c>
      <c r="B27" s="40"/>
      <c r="C27" s="41"/>
      <c r="D27" s="42"/>
      <c r="E27" s="43">
        <f>SUM(E18:E26)</f>
        <v>37.957600000000006</v>
      </c>
      <c r="F27" s="44"/>
      <c r="G27" s="45"/>
      <c r="H27" s="43">
        <f>SUM(H18:H26)</f>
        <v>39.891944800000012</v>
      </c>
      <c r="I27" s="30">
        <f>SUM(I18:I26)</f>
        <v>1.9343448000000001</v>
      </c>
      <c r="J27" s="31">
        <f>IF((E27)=0,"",(I27/E27))</f>
        <v>5.0960671907602159E-2</v>
      </c>
      <c r="M27" s="39" t="s">
        <v>33</v>
      </c>
      <c r="N27" s="40"/>
      <c r="O27" s="41"/>
      <c r="P27" s="42"/>
      <c r="Q27" s="43">
        <f>SUM(Q18:Q26)</f>
        <v>35.752745600000004</v>
      </c>
      <c r="R27" s="44"/>
      <c r="S27" s="45"/>
      <c r="T27" s="43">
        <f>SUM(T18:T26)</f>
        <v>37.746621468799994</v>
      </c>
      <c r="U27" s="30">
        <f>SUM(U18:U26)</f>
        <v>1.9938758687999911</v>
      </c>
      <c r="V27" s="31">
        <f>IF((Q27)=0,"",(U27/Q27))</f>
        <v>5.5768468556439785E-2</v>
      </c>
    </row>
    <row r="28" spans="1:22" x14ac:dyDescent="0.3">
      <c r="A28" s="46" t="s">
        <v>34</v>
      </c>
      <c r="B28" s="12"/>
      <c r="C28" s="20">
        <v>6.3E-3</v>
      </c>
      <c r="D28" s="33">
        <f>IF($B$4&gt;0,$B$4,$B$3*$B$5)</f>
        <v>786.07500000000005</v>
      </c>
      <c r="E28" s="15">
        <f t="shared" ref="E28:E29" si="22">C28*D28</f>
        <v>4.9522725000000003</v>
      </c>
      <c r="F28" s="21">
        <f>C28</f>
        <v>6.3E-3</v>
      </c>
      <c r="G28" s="33">
        <f>+$I$3*$B$6</f>
        <v>764.85097500000006</v>
      </c>
      <c r="H28" s="15">
        <f t="shared" ref="H28:H29" si="23">F28*G28</f>
        <v>4.8185611425000001</v>
      </c>
      <c r="I28" s="18">
        <f t="shared" si="2"/>
        <v>-0.13371135750000018</v>
      </c>
      <c r="J28" s="19">
        <f t="shared" si="3"/>
        <v>-2.7000000000000034E-2</v>
      </c>
      <c r="M28" s="46" t="s">
        <v>34</v>
      </c>
      <c r="N28" s="12"/>
      <c r="O28" s="20">
        <v>6.3E-3</v>
      </c>
      <c r="P28" s="33">
        <f>IF($N$4&gt;0,$N$4,$N$3*$N$5)</f>
        <v>384.65270000000004</v>
      </c>
      <c r="Q28" s="15">
        <f t="shared" ref="Q28:Q29" si="24">O28*P28</f>
        <v>2.4233120100000001</v>
      </c>
      <c r="R28" s="21">
        <f>O28</f>
        <v>6.3E-3</v>
      </c>
      <c r="S28" s="33">
        <f>+$U$3*$N$6</f>
        <v>374.26707709999999</v>
      </c>
      <c r="T28" s="15">
        <f t="shared" ref="T28:T29" si="25">R28*S28</f>
        <v>2.3578825857300001</v>
      </c>
      <c r="U28" s="18">
        <f t="shared" ref="U28:U29" si="26">+T28-Q28</f>
        <v>-6.5429424269999981E-2</v>
      </c>
      <c r="V28" s="19">
        <f t="shared" ref="V28:V29" si="27">IF(ISERROR(U28/Q28),"",U28/Q28)</f>
        <v>-2.6999999999999993E-2</v>
      </c>
    </row>
    <row r="29" spans="1:22" ht="26.4" x14ac:dyDescent="0.3">
      <c r="A29" s="47" t="s">
        <v>35</v>
      </c>
      <c r="B29" s="12"/>
      <c r="C29" s="20">
        <v>0</v>
      </c>
      <c r="D29" s="33">
        <f>IF($B$4&gt;0,$B$4,$B$3*$B$5)</f>
        <v>786.07500000000005</v>
      </c>
      <c r="E29" s="15">
        <f t="shared" si="22"/>
        <v>0</v>
      </c>
      <c r="F29" s="21">
        <v>0</v>
      </c>
      <c r="G29" s="33">
        <f>+$I$3*$B$6</f>
        <v>764.85097500000006</v>
      </c>
      <c r="H29" s="15">
        <f t="shared" si="23"/>
        <v>0</v>
      </c>
      <c r="I29" s="18">
        <f t="shared" si="2"/>
        <v>0</v>
      </c>
      <c r="J29" s="19" t="str">
        <f t="shared" si="3"/>
        <v/>
      </c>
      <c r="M29" s="47" t="s">
        <v>35</v>
      </c>
      <c r="N29" s="12"/>
      <c r="O29" s="20">
        <v>0</v>
      </c>
      <c r="P29" s="33">
        <f>IF($N$4&gt;0,$N$4,$N$3*$N$5)</f>
        <v>384.65270000000004</v>
      </c>
      <c r="Q29" s="15">
        <f t="shared" si="24"/>
        <v>0</v>
      </c>
      <c r="R29" s="21">
        <v>0</v>
      </c>
      <c r="S29" s="33">
        <f>+$U$3*$N$6</f>
        <v>374.26707709999999</v>
      </c>
      <c r="T29" s="15">
        <f t="shared" si="25"/>
        <v>0</v>
      </c>
      <c r="U29" s="18">
        <f t="shared" si="26"/>
        <v>0</v>
      </c>
      <c r="V29" s="19" t="str">
        <f t="shared" si="27"/>
        <v/>
      </c>
    </row>
    <row r="30" spans="1:22" ht="26.4" x14ac:dyDescent="0.3">
      <c r="A30" s="39" t="s">
        <v>36</v>
      </c>
      <c r="B30" s="24"/>
      <c r="C30" s="41"/>
      <c r="D30" s="42"/>
      <c r="E30" s="43">
        <f>SUM(E27:E29)</f>
        <v>42.909872500000006</v>
      </c>
      <c r="F30" s="44"/>
      <c r="G30" s="29"/>
      <c r="H30" s="43">
        <f>SUM(H27:H29)</f>
        <v>44.710505942500014</v>
      </c>
      <c r="I30" s="30">
        <f>SUM(I27:I29)</f>
        <v>1.8006334424999999</v>
      </c>
      <c r="J30" s="31">
        <f>IF((E30)=0,"",(I30/E30))</f>
        <v>4.1963150612950424E-2</v>
      </c>
      <c r="M30" s="39" t="s">
        <v>36</v>
      </c>
      <c r="N30" s="24"/>
      <c r="O30" s="41"/>
      <c r="P30" s="42"/>
      <c r="Q30" s="43">
        <f>SUM(Q27:Q29)</f>
        <v>38.176057610000001</v>
      </c>
      <c r="R30" s="44"/>
      <c r="S30" s="29"/>
      <c r="T30" s="43">
        <f>SUM(T27:T29)</f>
        <v>40.104504054529997</v>
      </c>
      <c r="U30" s="30">
        <f>SUM(U27:U29)</f>
        <v>1.9284464445299911</v>
      </c>
      <c r="V30" s="31">
        <f>IF((Q30)=0,"",(U30/Q30))</f>
        <v>5.0514551927563246E-2</v>
      </c>
    </row>
    <row r="31" spans="1:22" ht="26.4" x14ac:dyDescent="0.3">
      <c r="A31" s="48" t="s">
        <v>37</v>
      </c>
      <c r="B31" s="12"/>
      <c r="C31" s="20">
        <v>3.3999999999999998E-3</v>
      </c>
      <c r="D31" s="33">
        <f>IF($B$4&gt;0,$B$4,$B$3*$B$5)</f>
        <v>786.07500000000005</v>
      </c>
      <c r="E31" s="49">
        <f t="shared" ref="E31:E39" si="28">C31*D31</f>
        <v>2.6726550000000002</v>
      </c>
      <c r="F31" s="21">
        <v>3.3999999999999998E-3</v>
      </c>
      <c r="G31" s="33">
        <f>+$I$3*$B$6</f>
        <v>764.85097500000006</v>
      </c>
      <c r="H31" s="49">
        <f t="shared" ref="H31:H39" si="29">F31*G31</f>
        <v>2.600493315</v>
      </c>
      <c r="I31" s="18">
        <f t="shared" si="2"/>
        <v>-7.2161685000000197E-2</v>
      </c>
      <c r="J31" s="19">
        <f t="shared" si="3"/>
        <v>-2.7000000000000073E-2</v>
      </c>
      <c r="M31" s="48" t="s">
        <v>37</v>
      </c>
      <c r="N31" s="12"/>
      <c r="O31" s="20">
        <v>3.3999999999999998E-3</v>
      </c>
      <c r="P31" s="33">
        <f>IF($N$4&gt;0,$N$4,$N$3*$N$5)</f>
        <v>384.65270000000004</v>
      </c>
      <c r="Q31" s="49">
        <f t="shared" ref="Q31:Q39" si="30">O31*P31</f>
        <v>1.3078191800000001</v>
      </c>
      <c r="R31" s="21">
        <v>3.3999999999999998E-3</v>
      </c>
      <c r="S31" s="33">
        <f>+$U$3*$N$6</f>
        <v>374.26707709999999</v>
      </c>
      <c r="T31" s="49">
        <f t="shared" ref="T31:T39" si="31">R31*S31</f>
        <v>1.27250806214</v>
      </c>
      <c r="U31" s="18">
        <f t="shared" ref="U31:U39" si="32">+T31-Q31</f>
        <v>-3.5311117860000074E-2</v>
      </c>
      <c r="V31" s="19">
        <f t="shared" ref="V31:V39" si="33">IF(ISERROR(U31/Q31),"",U31/Q31)</f>
        <v>-2.7000000000000055E-2</v>
      </c>
    </row>
    <row r="32" spans="1:22" ht="26.4" x14ac:dyDescent="0.3">
      <c r="A32" s="48" t="s">
        <v>38</v>
      </c>
      <c r="B32" s="12"/>
      <c r="C32" s="20">
        <v>5.0000000000000001E-4</v>
      </c>
      <c r="D32" s="33">
        <f>IF($B$4&gt;0,$B$4,$B$3*$B$5)</f>
        <v>786.07500000000005</v>
      </c>
      <c r="E32" s="49">
        <f t="shared" si="28"/>
        <v>0.39303750000000004</v>
      </c>
      <c r="F32" s="21">
        <v>5.0000000000000001E-4</v>
      </c>
      <c r="G32" s="33">
        <f>+$I$3*$B$6</f>
        <v>764.85097500000006</v>
      </c>
      <c r="H32" s="49">
        <f t="shared" si="29"/>
        <v>0.38242548750000005</v>
      </c>
      <c r="I32" s="18">
        <f t="shared" si="2"/>
        <v>-1.061201249999999E-2</v>
      </c>
      <c r="J32" s="19">
        <f t="shared" si="3"/>
        <v>-2.6999999999999972E-2</v>
      </c>
      <c r="M32" s="48" t="s">
        <v>38</v>
      </c>
      <c r="N32" s="12"/>
      <c r="O32" s="20">
        <v>5.0000000000000001E-4</v>
      </c>
      <c r="P32" s="33">
        <f>IF($N$4&gt;0,$N$4,$N$3*$N$5)</f>
        <v>384.65270000000004</v>
      </c>
      <c r="Q32" s="49">
        <f t="shared" si="30"/>
        <v>0.19232635000000003</v>
      </c>
      <c r="R32" s="21">
        <v>5.0000000000000001E-4</v>
      </c>
      <c r="S32" s="33">
        <f>+$U$3*$N$6</f>
        <v>374.26707709999999</v>
      </c>
      <c r="T32" s="49">
        <f t="shared" si="31"/>
        <v>0.18713353855000001</v>
      </c>
      <c r="U32" s="18">
        <f t="shared" si="32"/>
        <v>-5.1928114500000289E-3</v>
      </c>
      <c r="V32" s="19">
        <f t="shared" si="33"/>
        <v>-2.7000000000000145E-2</v>
      </c>
    </row>
    <row r="33" spans="1:22" x14ac:dyDescent="0.3">
      <c r="A33" s="50" t="s">
        <v>39</v>
      </c>
      <c r="B33" s="12"/>
      <c r="C33" s="37">
        <v>0.25</v>
      </c>
      <c r="D33" s="14">
        <v>1</v>
      </c>
      <c r="E33" s="49">
        <f t="shared" si="28"/>
        <v>0.25</v>
      </c>
      <c r="F33" s="38">
        <v>0.25</v>
      </c>
      <c r="G33" s="17">
        <v>1</v>
      </c>
      <c r="H33" s="49">
        <f t="shared" si="29"/>
        <v>0.25</v>
      </c>
      <c r="I33" s="18">
        <f t="shared" si="2"/>
        <v>0</v>
      </c>
      <c r="J33" s="19">
        <f t="shared" si="3"/>
        <v>0</v>
      </c>
      <c r="M33" s="50" t="s">
        <v>39</v>
      </c>
      <c r="N33" s="12"/>
      <c r="O33" s="37">
        <v>0.25</v>
      </c>
      <c r="P33" s="14">
        <v>1</v>
      </c>
      <c r="Q33" s="49">
        <f t="shared" si="30"/>
        <v>0.25</v>
      </c>
      <c r="R33" s="38">
        <v>0.25</v>
      </c>
      <c r="S33" s="17">
        <v>1</v>
      </c>
      <c r="T33" s="49">
        <f t="shared" si="31"/>
        <v>0.25</v>
      </c>
      <c r="U33" s="18">
        <f t="shared" si="32"/>
        <v>0</v>
      </c>
      <c r="V33" s="19">
        <f t="shared" si="33"/>
        <v>0</v>
      </c>
    </row>
    <row r="34" spans="1:22" ht="26.4" x14ac:dyDescent="0.3">
      <c r="A34" s="48" t="s">
        <v>40</v>
      </c>
      <c r="B34" s="12"/>
      <c r="C34" s="20">
        <v>0</v>
      </c>
      <c r="D34" s="33"/>
      <c r="E34" s="49">
        <f t="shared" si="28"/>
        <v>0</v>
      </c>
      <c r="F34" s="21"/>
      <c r="G34" s="33"/>
      <c r="H34" s="49">
        <f t="shared" si="29"/>
        <v>0</v>
      </c>
      <c r="I34" s="18">
        <f t="shared" si="2"/>
        <v>0</v>
      </c>
      <c r="J34" s="19" t="str">
        <f t="shared" si="3"/>
        <v/>
      </c>
      <c r="M34" s="48" t="s">
        <v>40</v>
      </c>
      <c r="N34" s="12"/>
      <c r="O34" s="20">
        <v>0</v>
      </c>
      <c r="P34" s="33"/>
      <c r="Q34" s="49">
        <f t="shared" si="30"/>
        <v>0</v>
      </c>
      <c r="R34" s="21"/>
      <c r="S34" s="33"/>
      <c r="T34" s="49">
        <f t="shared" si="31"/>
        <v>0</v>
      </c>
      <c r="U34" s="18">
        <f t="shared" si="32"/>
        <v>0</v>
      </c>
      <c r="V34" s="19" t="str">
        <f t="shared" si="33"/>
        <v/>
      </c>
    </row>
    <row r="35" spans="1:22" x14ac:dyDescent="0.3">
      <c r="A35" s="51" t="s">
        <v>41</v>
      </c>
      <c r="B35" s="12"/>
      <c r="C35" s="52">
        <v>0.10100000000000001</v>
      </c>
      <c r="D35" s="53">
        <f>IF(AND(B3*12&gt;=150000),0.65*B3*B5,0.65*B3)</f>
        <v>487.5</v>
      </c>
      <c r="E35" s="49">
        <f t="shared" si="28"/>
        <v>49.237500000000004</v>
      </c>
      <c r="F35" s="54">
        <f>C35</f>
        <v>0.10100000000000001</v>
      </c>
      <c r="G35" s="53">
        <f>IF(AND(I3*12&gt;=150000),0.65*I3*B6,0.65*I3)</f>
        <v>474.33750000000003</v>
      </c>
      <c r="H35" s="49">
        <f t="shared" si="29"/>
        <v>47.908087500000008</v>
      </c>
      <c r="I35" s="18">
        <f t="shared" si="2"/>
        <v>-1.3294124999999966</v>
      </c>
      <c r="J35" s="19">
        <f t="shared" si="3"/>
        <v>-2.6999999999999927E-2</v>
      </c>
      <c r="M35" s="51" t="s">
        <v>41</v>
      </c>
      <c r="N35" s="12"/>
      <c r="O35" s="52">
        <f>C35</f>
        <v>0.10100000000000001</v>
      </c>
      <c r="P35" s="53">
        <f>IF(AND(N3*12&gt;=150000),0.65*N3*N5,0.65*N3)</f>
        <v>238.55</v>
      </c>
      <c r="Q35" s="49">
        <f t="shared" si="30"/>
        <v>24.093550000000004</v>
      </c>
      <c r="R35" s="54">
        <f>O35</f>
        <v>0.10100000000000001</v>
      </c>
      <c r="S35" s="53">
        <f>IF(AND(U3*12&gt;=150000),0.65*U3*N6,0.65*U3)</f>
        <v>232.10915</v>
      </c>
      <c r="T35" s="49">
        <f t="shared" si="31"/>
        <v>23.443024150000003</v>
      </c>
      <c r="U35" s="18">
        <f t="shared" si="32"/>
        <v>-0.65052585000000107</v>
      </c>
      <c r="V35" s="19">
        <f t="shared" si="33"/>
        <v>-2.7000000000000041E-2</v>
      </c>
    </row>
    <row r="36" spans="1:22" x14ac:dyDescent="0.3">
      <c r="A36" s="51" t="s">
        <v>42</v>
      </c>
      <c r="B36" s="12"/>
      <c r="C36" s="52">
        <v>0.14399999999999999</v>
      </c>
      <c r="D36" s="53">
        <f>IF(AND(B3*12&gt;=150000),0.17*B3*B5,0.17*B3)</f>
        <v>127.50000000000001</v>
      </c>
      <c r="E36" s="49">
        <f t="shared" si="28"/>
        <v>18.36</v>
      </c>
      <c r="F36" s="54">
        <f t="shared" ref="F36:F37" si="34">C36</f>
        <v>0.14399999999999999</v>
      </c>
      <c r="G36" s="53">
        <f>IF(AND(I3*12&gt;=150000),0.17*I3*B6,0.17*I3)</f>
        <v>124.0575</v>
      </c>
      <c r="H36" s="49">
        <f t="shared" si="29"/>
        <v>17.864280000000001</v>
      </c>
      <c r="I36" s="18">
        <f t="shared" si="2"/>
        <v>-0.49571999999999861</v>
      </c>
      <c r="J36" s="19">
        <f t="shared" si="3"/>
        <v>-2.6999999999999923E-2</v>
      </c>
      <c r="M36" s="51" t="s">
        <v>42</v>
      </c>
      <c r="N36" s="12"/>
      <c r="O36" s="52">
        <f t="shared" ref="O36:O37" si="35">C36</f>
        <v>0.14399999999999999</v>
      </c>
      <c r="P36" s="53">
        <f>IF(AND(N3*12&gt;=150000),0.17*N3*N5,0.17*N3)</f>
        <v>62.390000000000008</v>
      </c>
      <c r="Q36" s="49">
        <f t="shared" si="30"/>
        <v>8.984160000000001</v>
      </c>
      <c r="R36" s="54">
        <f t="shared" ref="R36:R37" si="36">O36</f>
        <v>0.14399999999999999</v>
      </c>
      <c r="S36" s="53">
        <f>IF(AND(U3*12&gt;=150000),0.17*U3*N6,0.17*U3)</f>
        <v>60.705470000000005</v>
      </c>
      <c r="T36" s="49">
        <f t="shared" si="31"/>
        <v>8.7415876800000003</v>
      </c>
      <c r="U36" s="18">
        <f t="shared" si="32"/>
        <v>-0.24257232000000073</v>
      </c>
      <c r="V36" s="19">
        <f t="shared" si="33"/>
        <v>-2.7000000000000079E-2</v>
      </c>
    </row>
    <row r="37" spans="1:22" x14ac:dyDescent="0.3">
      <c r="A37" s="3" t="s">
        <v>43</v>
      </c>
      <c r="B37" s="12"/>
      <c r="C37" s="52">
        <v>0.20799999999999999</v>
      </c>
      <c r="D37" s="53">
        <f>IF(AND(B3*12&gt;=150000),0.18*B3*B5,0.18*B3)</f>
        <v>135</v>
      </c>
      <c r="E37" s="49">
        <f t="shared" si="28"/>
        <v>28.08</v>
      </c>
      <c r="F37" s="54">
        <f t="shared" si="34"/>
        <v>0.20799999999999999</v>
      </c>
      <c r="G37" s="53">
        <f>IF(AND(I3*12&gt;=150000),0.18*I3*B6,0.18*I3)</f>
        <v>131.35499999999999</v>
      </c>
      <c r="H37" s="49">
        <f t="shared" si="29"/>
        <v>27.321839999999998</v>
      </c>
      <c r="I37" s="18">
        <f t="shared" si="2"/>
        <v>-0.75816000000000017</v>
      </c>
      <c r="J37" s="19">
        <f t="shared" si="3"/>
        <v>-2.7000000000000007E-2</v>
      </c>
      <c r="M37" s="3" t="s">
        <v>43</v>
      </c>
      <c r="N37" s="12"/>
      <c r="O37" s="52">
        <f t="shared" si="35"/>
        <v>0.20799999999999999</v>
      </c>
      <c r="P37" s="53">
        <f>IF(AND(N3*12&gt;=150000),0.18*N3*N5,0.18*N3)</f>
        <v>66.06</v>
      </c>
      <c r="Q37" s="49">
        <f t="shared" si="30"/>
        <v>13.74048</v>
      </c>
      <c r="R37" s="54">
        <f t="shared" si="36"/>
        <v>0.20799999999999999</v>
      </c>
      <c r="S37" s="53">
        <f>IF(AND(U3*12&gt;=150000),0.18*U3*N6,0.18*U3)</f>
        <v>64.276380000000003</v>
      </c>
      <c r="T37" s="49">
        <f t="shared" si="31"/>
        <v>13.369487039999999</v>
      </c>
      <c r="U37" s="18">
        <f t="shared" si="32"/>
        <v>-0.37099296000000059</v>
      </c>
      <c r="V37" s="19">
        <f t="shared" si="33"/>
        <v>-2.7000000000000045E-2</v>
      </c>
    </row>
    <row r="38" spans="1:22" x14ac:dyDescent="0.3">
      <c r="A38" s="51" t="s">
        <v>44</v>
      </c>
      <c r="B38" s="12"/>
      <c r="C38" s="55">
        <v>0</v>
      </c>
      <c r="D38" s="53">
        <f t="shared" ref="D38:D39" si="37">IF($B$4&gt;0,$B$4,$B$3)</f>
        <v>750</v>
      </c>
      <c r="E38" s="49">
        <f t="shared" si="28"/>
        <v>0</v>
      </c>
      <c r="F38" s="56">
        <v>0</v>
      </c>
      <c r="G38" s="53">
        <f t="shared" ref="G38:G39" si="38">+$I$3</f>
        <v>729.75</v>
      </c>
      <c r="H38" s="49">
        <f t="shared" si="29"/>
        <v>0</v>
      </c>
      <c r="I38" s="18">
        <f t="shared" si="2"/>
        <v>0</v>
      </c>
      <c r="J38" s="19" t="str">
        <f t="shared" si="3"/>
        <v/>
      </c>
      <c r="M38" s="51" t="s">
        <v>44</v>
      </c>
      <c r="N38" s="12"/>
      <c r="O38" s="55">
        <v>0</v>
      </c>
      <c r="P38" s="14">
        <f>IF($N$4&gt;0,$N$4,$N$3)</f>
        <v>367</v>
      </c>
      <c r="Q38" s="49">
        <f t="shared" si="30"/>
        <v>0</v>
      </c>
      <c r="R38" s="56">
        <v>0</v>
      </c>
      <c r="S38" s="100">
        <f>+$U$3</f>
        <v>357.09100000000001</v>
      </c>
      <c r="T38" s="49">
        <f t="shared" si="31"/>
        <v>0</v>
      </c>
      <c r="U38" s="18">
        <f t="shared" si="32"/>
        <v>0</v>
      </c>
      <c r="V38" s="19" t="str">
        <f t="shared" si="33"/>
        <v/>
      </c>
    </row>
    <row r="39" spans="1:22" ht="15" thickBot="1" x14ac:dyDescent="0.35">
      <c r="A39" s="51" t="s">
        <v>45</v>
      </c>
      <c r="B39" s="12"/>
      <c r="C39" s="55">
        <v>0</v>
      </c>
      <c r="D39" s="53">
        <f t="shared" si="37"/>
        <v>750</v>
      </c>
      <c r="E39" s="49">
        <f t="shared" si="28"/>
        <v>0</v>
      </c>
      <c r="F39" s="56">
        <v>0</v>
      </c>
      <c r="G39" s="53">
        <f t="shared" si="38"/>
        <v>729.75</v>
      </c>
      <c r="H39" s="49">
        <f t="shared" si="29"/>
        <v>0</v>
      </c>
      <c r="I39" s="18">
        <f t="shared" si="2"/>
        <v>0</v>
      </c>
      <c r="J39" s="19" t="str">
        <f t="shared" si="3"/>
        <v/>
      </c>
      <c r="M39" s="51" t="s">
        <v>45</v>
      </c>
      <c r="N39" s="12"/>
      <c r="O39" s="55">
        <v>0</v>
      </c>
      <c r="P39" s="14">
        <f>IF($N$4&gt;0,$N$4,$N$3)</f>
        <v>367</v>
      </c>
      <c r="Q39" s="49">
        <f t="shared" si="30"/>
        <v>0</v>
      </c>
      <c r="R39" s="56">
        <v>0</v>
      </c>
      <c r="S39" s="100">
        <f>+$U$3</f>
        <v>357.09100000000001</v>
      </c>
      <c r="T39" s="49">
        <f t="shared" si="31"/>
        <v>0</v>
      </c>
      <c r="U39" s="18">
        <f t="shared" si="32"/>
        <v>0</v>
      </c>
      <c r="V39" s="19" t="str">
        <f t="shared" si="33"/>
        <v/>
      </c>
    </row>
    <row r="40" spans="1:22" ht="15" thickBot="1" x14ac:dyDescent="0.35">
      <c r="A40" s="57"/>
      <c r="B40" s="58"/>
      <c r="C40" s="59"/>
      <c r="D40" s="60"/>
      <c r="E40" s="61"/>
      <c r="F40" s="59"/>
      <c r="G40" s="62"/>
      <c r="H40" s="61"/>
      <c r="I40" s="63"/>
      <c r="J40" s="64"/>
      <c r="M40" s="57"/>
      <c r="N40" s="58"/>
      <c r="O40" s="59"/>
      <c r="P40" s="60"/>
      <c r="Q40" s="61"/>
      <c r="R40" s="59"/>
      <c r="S40" s="62"/>
      <c r="T40" s="61"/>
      <c r="U40" s="63"/>
      <c r="V40" s="64"/>
    </row>
    <row r="41" spans="1:22" x14ac:dyDescent="0.3">
      <c r="A41" s="65" t="s">
        <v>46</v>
      </c>
      <c r="B41" s="50"/>
      <c r="C41" s="66"/>
      <c r="D41" s="67"/>
      <c r="E41" s="68">
        <f>SUM(E30:E37)</f>
        <v>141.903065</v>
      </c>
      <c r="F41" s="69"/>
      <c r="G41" s="69"/>
      <c r="H41" s="68">
        <f>SUM(H30:H37)</f>
        <v>141.03763224500003</v>
      </c>
      <c r="I41" s="70">
        <f>SUM(I30:I37)</f>
        <v>-0.86543275499999561</v>
      </c>
      <c r="J41" s="71">
        <f t="shared" ref="J41:J42" si="39">IF((E41)=0,"",(I41/E41))</f>
        <v>-6.0987601289654711E-3</v>
      </c>
      <c r="M41" s="65" t="s">
        <v>46</v>
      </c>
      <c r="N41" s="50"/>
      <c r="O41" s="66"/>
      <c r="P41" s="67"/>
      <c r="Q41" s="68">
        <f>SUM(Q30:Q37)</f>
        <v>86.744393140000014</v>
      </c>
      <c r="R41" s="69"/>
      <c r="S41" s="69"/>
      <c r="T41" s="68">
        <f>SUM(T30:T37)</f>
        <v>87.368244525219993</v>
      </c>
      <c r="U41" s="70">
        <f>SUM(U30:U37)</f>
        <v>0.62385138521998873</v>
      </c>
      <c r="V41" s="71">
        <f t="shared" ref="V41:V42" si="40">IF((Q41)=0,"",(U41/Q41))</f>
        <v>7.1918352603277964E-3</v>
      </c>
    </row>
    <row r="42" spans="1:22" x14ac:dyDescent="0.3">
      <c r="A42" s="72" t="s">
        <v>47</v>
      </c>
      <c r="B42" s="50"/>
      <c r="C42" s="66">
        <v>0.13</v>
      </c>
      <c r="D42" s="73"/>
      <c r="E42" s="74">
        <f>+E41*C42</f>
        <v>18.447398450000001</v>
      </c>
      <c r="F42" s="75">
        <v>0.13</v>
      </c>
      <c r="G42" s="14"/>
      <c r="H42" s="74">
        <f>+H41*F42</f>
        <v>18.334892191850003</v>
      </c>
      <c r="I42" s="76">
        <f>+I41*F42</f>
        <v>-0.11250625814999943</v>
      </c>
      <c r="J42" s="77">
        <f t="shared" si="39"/>
        <v>-6.0987601289654702E-3</v>
      </c>
      <c r="M42" s="72" t="s">
        <v>47</v>
      </c>
      <c r="N42" s="50"/>
      <c r="O42" s="66">
        <v>0.13</v>
      </c>
      <c r="P42" s="73"/>
      <c r="Q42" s="74">
        <f>+Q41*O42</f>
        <v>11.276771108200002</v>
      </c>
      <c r="R42" s="75">
        <v>0.13</v>
      </c>
      <c r="S42" s="14"/>
      <c r="T42" s="74">
        <f>+T41*R42</f>
        <v>11.357871788278599</v>
      </c>
      <c r="U42" s="76">
        <f>+U41*R42</f>
        <v>8.1100680078598539E-2</v>
      </c>
      <c r="V42" s="77">
        <f t="shared" si="40"/>
        <v>7.1918352603277972E-3</v>
      </c>
    </row>
    <row r="43" spans="1:22" x14ac:dyDescent="0.3">
      <c r="A43" s="72" t="s">
        <v>94</v>
      </c>
      <c r="B43" s="50"/>
      <c r="C43" s="141">
        <v>0.318</v>
      </c>
      <c r="D43" s="73"/>
      <c r="E43" s="74">
        <f>+E41*-C43</f>
        <v>-45.12517467</v>
      </c>
      <c r="F43" s="141">
        <f>C43</f>
        <v>0.318</v>
      </c>
      <c r="G43" s="14"/>
      <c r="H43" s="74">
        <f>+F43*-H41</f>
        <v>-44.849967053910007</v>
      </c>
      <c r="I43" s="76">
        <f>+F43*-I41</f>
        <v>0.27520761608999861</v>
      </c>
      <c r="J43" s="77"/>
      <c r="M43" s="72" t="s">
        <v>94</v>
      </c>
      <c r="N43" s="50"/>
      <c r="O43" s="141">
        <f>C43</f>
        <v>0.318</v>
      </c>
      <c r="P43" s="73"/>
      <c r="Q43" s="74">
        <f>+Q41*-O43</f>
        <v>-27.584717018520006</v>
      </c>
      <c r="R43" s="141">
        <f>O43</f>
        <v>0.318</v>
      </c>
      <c r="S43" s="14"/>
      <c r="T43" s="74">
        <f>+R43*-T41</f>
        <v>-27.783101759019956</v>
      </c>
      <c r="U43" s="76">
        <f>+R43*-U41</f>
        <v>-0.19838474049995641</v>
      </c>
      <c r="V43" s="77"/>
    </row>
    <row r="44" spans="1:22" ht="15" thickBot="1" x14ac:dyDescent="0.35">
      <c r="A44" s="212" t="s">
        <v>48</v>
      </c>
      <c r="B44" s="212"/>
      <c r="C44" s="78"/>
      <c r="D44" s="79"/>
      <c r="E44" s="80">
        <f>+E41+E42+E43</f>
        <v>115.22528878</v>
      </c>
      <c r="F44" s="81"/>
      <c r="G44" s="81"/>
      <c r="H44" s="82">
        <f>+H41+H42+H43</f>
        <v>114.52255738294002</v>
      </c>
      <c r="I44" s="83">
        <f>+I41+I42+I43</f>
        <v>-0.70273139705999643</v>
      </c>
      <c r="J44" s="84">
        <f>IF((E44)=0,"",(I44/E44))</f>
        <v>-6.0987601289654711E-3</v>
      </c>
      <c r="M44" s="212" t="s">
        <v>48</v>
      </c>
      <c r="N44" s="212"/>
      <c r="O44" s="78"/>
      <c r="P44" s="79"/>
      <c r="Q44" s="80">
        <f>+Q41+Q42+Q43</f>
        <v>70.436447229680013</v>
      </c>
      <c r="R44" s="81"/>
      <c r="S44" s="81"/>
      <c r="T44" s="82">
        <f>+T41+T42+T43</f>
        <v>70.943014554478637</v>
      </c>
      <c r="U44" s="83">
        <f>+U41+U42+U43</f>
        <v>0.50656732479863087</v>
      </c>
      <c r="V44" s="84">
        <f>IF((Q44)=0,"",(U44/Q44))</f>
        <v>7.1918352603277964E-3</v>
      </c>
    </row>
    <row r="45" spans="1:22" ht="15" thickBot="1" x14ac:dyDescent="0.35">
      <c r="A45" s="57"/>
      <c r="B45" s="58"/>
      <c r="C45" s="59"/>
      <c r="D45" s="60"/>
      <c r="E45" s="61"/>
      <c r="F45" s="59"/>
      <c r="G45" s="62"/>
      <c r="H45" s="61"/>
      <c r="I45" s="63"/>
      <c r="J45" s="64"/>
      <c r="M45" s="57"/>
      <c r="N45" s="58"/>
      <c r="O45" s="59"/>
      <c r="P45" s="60"/>
      <c r="Q45" s="61"/>
      <c r="R45" s="59"/>
      <c r="S45" s="62"/>
      <c r="T45" s="61"/>
      <c r="U45" s="63"/>
      <c r="V45" s="64"/>
    </row>
    <row r="46" spans="1:22" x14ac:dyDescent="0.3">
      <c r="E46" s="105">
        <f>E44</f>
        <v>115.22528878</v>
      </c>
      <c r="F46" s="105"/>
      <c r="G46" s="105"/>
      <c r="H46" s="105">
        <f t="shared" ref="H46:J46" si="41">H44</f>
        <v>114.52255738294002</v>
      </c>
      <c r="I46" s="105">
        <f t="shared" si="41"/>
        <v>-0.70273139705999643</v>
      </c>
      <c r="J46" s="103">
        <f t="shared" si="41"/>
        <v>-6.0987601289654711E-3</v>
      </c>
      <c r="Q46" s="105">
        <f>Q44</f>
        <v>70.436447229680013</v>
      </c>
      <c r="R46" s="105"/>
      <c r="S46" s="105"/>
      <c r="T46" s="105">
        <f t="shared" ref="T46:V46" si="42">T44</f>
        <v>70.943014554478637</v>
      </c>
      <c r="U46" s="105">
        <f t="shared" si="42"/>
        <v>0.50656732479863087</v>
      </c>
      <c r="V46" s="103">
        <f t="shared" si="42"/>
        <v>7.1918352603277964E-3</v>
      </c>
    </row>
    <row r="49" spans="1:22" x14ac:dyDescent="0.3">
      <c r="A49" s="1" t="s">
        <v>0</v>
      </c>
      <c r="B49" s="200" t="s">
        <v>1</v>
      </c>
      <c r="C49" s="200"/>
      <c r="D49" s="200"/>
      <c r="E49" s="200"/>
      <c r="F49" s="200"/>
      <c r="G49" s="200"/>
      <c r="H49" s="2" t="s">
        <v>2</v>
      </c>
      <c r="I49" s="2"/>
      <c r="J49" s="2"/>
      <c r="M49" s="1" t="s">
        <v>0</v>
      </c>
      <c r="N49" s="200" t="s">
        <v>1</v>
      </c>
      <c r="O49" s="200"/>
      <c r="P49" s="200"/>
      <c r="Q49" s="200"/>
      <c r="R49" s="200"/>
      <c r="S49" s="200"/>
      <c r="T49" s="2" t="s">
        <v>2</v>
      </c>
      <c r="U49" s="2"/>
      <c r="V49" s="2"/>
    </row>
    <row r="50" spans="1:22" x14ac:dyDescent="0.3">
      <c r="A50" s="85" t="s">
        <v>3</v>
      </c>
      <c r="B50" s="201" t="s">
        <v>4</v>
      </c>
      <c r="C50" s="201"/>
      <c r="D50" s="201"/>
      <c r="E50" s="86"/>
      <c r="F50" s="86"/>
      <c r="G50" s="87"/>
      <c r="H50" s="87"/>
      <c r="I50" s="87"/>
      <c r="J50" s="87"/>
      <c r="M50" s="85" t="s">
        <v>3</v>
      </c>
      <c r="N50" s="201" t="s">
        <v>4</v>
      </c>
      <c r="O50" s="201"/>
      <c r="P50" s="201"/>
      <c r="Q50" s="86"/>
      <c r="R50" s="86"/>
      <c r="S50" s="87"/>
      <c r="T50" s="87"/>
      <c r="U50" s="87"/>
      <c r="V50" s="87"/>
    </row>
    <row r="51" spans="1:22" ht="15.6" x14ac:dyDescent="0.3">
      <c r="A51" s="85" t="s">
        <v>5</v>
      </c>
      <c r="B51" s="88">
        <v>825</v>
      </c>
      <c r="C51" s="89" t="s">
        <v>6</v>
      </c>
      <c r="D51" s="90"/>
      <c r="E51" s="98" t="s">
        <v>49</v>
      </c>
      <c r="F51" s="96">
        <f>F3</f>
        <v>2.7E-2</v>
      </c>
      <c r="G51" s="91"/>
      <c r="H51" s="97" t="s">
        <v>50</v>
      </c>
      <c r="I51" s="99">
        <f>B51*(1-F51)</f>
        <v>802.72500000000002</v>
      </c>
      <c r="J51" s="91"/>
      <c r="M51" s="85" t="s">
        <v>5</v>
      </c>
      <c r="N51" s="88">
        <v>2000</v>
      </c>
      <c r="O51" s="89" t="s">
        <v>6</v>
      </c>
      <c r="P51" s="90"/>
      <c r="Q51" s="98" t="s">
        <v>49</v>
      </c>
      <c r="R51" s="96">
        <f>F51</f>
        <v>2.7E-2</v>
      </c>
      <c r="S51" s="91"/>
      <c r="T51" s="97" t="s">
        <v>50</v>
      </c>
      <c r="U51" s="99">
        <f>N51*(1-R51)</f>
        <v>1946</v>
      </c>
      <c r="V51" s="91"/>
    </row>
    <row r="52" spans="1:22" ht="15.6" x14ac:dyDescent="0.3">
      <c r="A52" s="85" t="s">
        <v>7</v>
      </c>
      <c r="B52" s="88">
        <v>0</v>
      </c>
      <c r="C52" s="92" t="s">
        <v>8</v>
      </c>
      <c r="D52" s="93"/>
      <c r="E52" s="94"/>
      <c r="F52" s="94"/>
      <c r="G52" s="94"/>
      <c r="H52" s="87"/>
      <c r="I52" s="87"/>
      <c r="J52" s="87"/>
      <c r="M52" s="85" t="s">
        <v>7</v>
      </c>
      <c r="N52" s="88">
        <v>0</v>
      </c>
      <c r="O52" s="92" t="s">
        <v>8</v>
      </c>
      <c r="P52" s="93"/>
      <c r="Q52" s="94"/>
      <c r="R52" s="94"/>
      <c r="S52" s="94"/>
      <c r="T52" s="87"/>
      <c r="U52" s="87"/>
      <c r="V52" s="87"/>
    </row>
    <row r="53" spans="1:22" x14ac:dyDescent="0.3">
      <c r="A53" s="85" t="s">
        <v>9</v>
      </c>
      <c r="B53" s="95">
        <v>1.0481</v>
      </c>
      <c r="C53" s="87"/>
      <c r="D53" s="87"/>
      <c r="E53" s="87" t="s">
        <v>98</v>
      </c>
      <c r="F53" s="96">
        <f>F5</f>
        <v>1.9E-2</v>
      </c>
      <c r="G53" s="87"/>
      <c r="H53" s="87"/>
      <c r="I53" s="87"/>
      <c r="J53" s="87"/>
      <c r="M53" s="85" t="s">
        <v>9</v>
      </c>
      <c r="N53" s="95">
        <v>1.0481</v>
      </c>
      <c r="O53" s="87"/>
      <c r="P53" s="87"/>
      <c r="Q53" s="87" t="s">
        <v>98</v>
      </c>
      <c r="R53" s="96">
        <f>F53</f>
        <v>1.9E-2</v>
      </c>
      <c r="S53" s="87"/>
      <c r="T53" s="87"/>
      <c r="U53" s="87"/>
      <c r="V53" s="87"/>
    </row>
    <row r="54" spans="1:22" x14ac:dyDescent="0.3">
      <c r="A54" s="1" t="s">
        <v>10</v>
      </c>
      <c r="B54" s="95">
        <v>1.0481</v>
      </c>
      <c r="C54" s="2"/>
      <c r="D54" s="2"/>
      <c r="E54" s="2"/>
      <c r="F54" s="2"/>
      <c r="G54" s="120"/>
      <c r="H54" s="2"/>
      <c r="I54" s="2"/>
      <c r="J54" s="2"/>
      <c r="M54" s="1" t="s">
        <v>10</v>
      </c>
      <c r="N54" s="95">
        <v>1.0481</v>
      </c>
      <c r="O54" s="2"/>
      <c r="P54" s="2"/>
      <c r="Q54" s="2"/>
      <c r="R54" s="2"/>
      <c r="S54" s="120"/>
      <c r="T54" s="2"/>
      <c r="U54" s="2"/>
      <c r="V54" s="2"/>
    </row>
    <row r="55" spans="1:22" x14ac:dyDescent="0.3">
      <c r="A55" s="3"/>
      <c r="B55" s="2"/>
      <c r="C55" s="2"/>
      <c r="D55" s="2"/>
      <c r="E55" s="2"/>
      <c r="F55" s="2"/>
      <c r="G55" s="2"/>
      <c r="H55" s="2"/>
      <c r="I55" s="2"/>
      <c r="J55" s="2"/>
      <c r="M55" s="3"/>
      <c r="N55" s="2"/>
      <c r="O55" s="2"/>
      <c r="P55" s="2"/>
      <c r="Q55" s="2"/>
      <c r="R55" s="2"/>
      <c r="S55" s="2"/>
      <c r="T55" s="2"/>
      <c r="U55" s="2"/>
      <c r="V55" s="2"/>
    </row>
    <row r="56" spans="1:22" x14ac:dyDescent="0.3">
      <c r="A56" s="3"/>
      <c r="B56" s="5"/>
      <c r="C56" s="202" t="s">
        <v>103</v>
      </c>
      <c r="D56" s="203"/>
      <c r="E56" s="204"/>
      <c r="F56" s="205" t="s">
        <v>93</v>
      </c>
      <c r="G56" s="203"/>
      <c r="H56" s="204"/>
      <c r="I56" s="202" t="s">
        <v>11</v>
      </c>
      <c r="J56" s="204"/>
      <c r="M56" s="3"/>
      <c r="N56" s="5"/>
      <c r="O56" s="202" t="s">
        <v>103</v>
      </c>
      <c r="P56" s="203"/>
      <c r="Q56" s="204"/>
      <c r="R56" s="205" t="s">
        <v>93</v>
      </c>
      <c r="S56" s="203"/>
      <c r="T56" s="204"/>
      <c r="U56" s="202" t="s">
        <v>11</v>
      </c>
      <c r="V56" s="204"/>
    </row>
    <row r="57" spans="1:22" x14ac:dyDescent="0.3">
      <c r="A57" s="3"/>
      <c r="B57" s="206"/>
      <c r="C57" s="6" t="s">
        <v>12</v>
      </c>
      <c r="D57" s="6" t="s">
        <v>13</v>
      </c>
      <c r="E57" s="7" t="s">
        <v>14</v>
      </c>
      <c r="F57" s="6" t="s">
        <v>12</v>
      </c>
      <c r="G57" s="8" t="s">
        <v>13</v>
      </c>
      <c r="H57" s="7" t="s">
        <v>14</v>
      </c>
      <c r="I57" s="208" t="s">
        <v>15</v>
      </c>
      <c r="J57" s="210" t="s">
        <v>16</v>
      </c>
      <c r="M57" s="3"/>
      <c r="N57" s="206"/>
      <c r="O57" s="6" t="s">
        <v>12</v>
      </c>
      <c r="P57" s="6" t="s">
        <v>13</v>
      </c>
      <c r="Q57" s="7" t="s">
        <v>14</v>
      </c>
      <c r="R57" s="6" t="s">
        <v>12</v>
      </c>
      <c r="S57" s="8" t="s">
        <v>13</v>
      </c>
      <c r="T57" s="7" t="s">
        <v>14</v>
      </c>
      <c r="U57" s="208" t="s">
        <v>15</v>
      </c>
      <c r="V57" s="210" t="s">
        <v>16</v>
      </c>
    </row>
    <row r="58" spans="1:22" x14ac:dyDescent="0.3">
      <c r="A58" s="3"/>
      <c r="B58" s="207"/>
      <c r="C58" s="9" t="s">
        <v>17</v>
      </c>
      <c r="D58" s="9"/>
      <c r="E58" s="10" t="s">
        <v>17</v>
      </c>
      <c r="F58" s="9" t="s">
        <v>17</v>
      </c>
      <c r="G58" s="10"/>
      <c r="H58" s="10" t="s">
        <v>17</v>
      </c>
      <c r="I58" s="209"/>
      <c r="J58" s="211"/>
      <c r="M58" s="3"/>
      <c r="N58" s="207"/>
      <c r="O58" s="9" t="s">
        <v>17</v>
      </c>
      <c r="P58" s="9"/>
      <c r="Q58" s="10" t="s">
        <v>17</v>
      </c>
      <c r="R58" s="9" t="s">
        <v>17</v>
      </c>
      <c r="S58" s="10"/>
      <c r="T58" s="10" t="s">
        <v>17</v>
      </c>
      <c r="U58" s="209"/>
      <c r="V58" s="211"/>
    </row>
    <row r="59" spans="1:22" x14ac:dyDescent="0.3">
      <c r="A59" s="11" t="s">
        <v>18</v>
      </c>
      <c r="B59" s="12"/>
      <c r="C59" s="13">
        <f>C11</f>
        <v>32.68</v>
      </c>
      <c r="D59" s="14">
        <v>1</v>
      </c>
      <c r="E59" s="15">
        <f>C59*D59</f>
        <v>32.68</v>
      </c>
      <c r="F59" s="16">
        <f>C59*(1+F53)</f>
        <v>33.300919999999998</v>
      </c>
      <c r="G59" s="17">
        <v>1</v>
      </c>
      <c r="H59" s="15">
        <f>F59*G59</f>
        <v>33.300919999999998</v>
      </c>
      <c r="I59" s="18">
        <f>+H59-E59</f>
        <v>0.62091999999999814</v>
      </c>
      <c r="J59" s="19">
        <f>IF(ISERROR(I59/E59),"",I59/E59)</f>
        <v>1.8999999999999944E-2</v>
      </c>
      <c r="M59" s="11" t="s">
        <v>18</v>
      </c>
      <c r="N59" s="12"/>
      <c r="O59" s="13">
        <f>C11</f>
        <v>32.68</v>
      </c>
      <c r="P59" s="14">
        <v>1</v>
      </c>
      <c r="Q59" s="15">
        <f>O59*P59</f>
        <v>32.68</v>
      </c>
      <c r="R59" s="16">
        <f>O59*(1+R53)</f>
        <v>33.300919999999998</v>
      </c>
      <c r="S59" s="17">
        <v>1</v>
      </c>
      <c r="T59" s="15">
        <f>R59*S59</f>
        <v>33.300919999999998</v>
      </c>
      <c r="U59" s="18">
        <f>+T59-Q59</f>
        <v>0.62091999999999814</v>
      </c>
      <c r="V59" s="19">
        <f>IF(ISERROR(U59/Q59),"",U59/Q59)</f>
        <v>1.8999999999999944E-2</v>
      </c>
    </row>
    <row r="60" spans="1:22" x14ac:dyDescent="0.3">
      <c r="A60" s="11" t="s">
        <v>19</v>
      </c>
      <c r="B60" s="12"/>
      <c r="C60" s="20"/>
      <c r="D60" s="14">
        <f>IF($B$52&gt;0,$B$52,$B$51)</f>
        <v>825</v>
      </c>
      <c r="E60" s="15">
        <f t="shared" ref="E60:E64" si="43">C60*D60</f>
        <v>0</v>
      </c>
      <c r="F60" s="21">
        <f>C60</f>
        <v>0</v>
      </c>
      <c r="G60" s="34">
        <f>+$I$51</f>
        <v>802.72500000000002</v>
      </c>
      <c r="H60" s="15">
        <f t="shared" ref="H60:H64" si="44">F60*G60</f>
        <v>0</v>
      </c>
      <c r="I60" s="18">
        <f t="shared" ref="I60:I65" si="45">+H60-E60</f>
        <v>0</v>
      </c>
      <c r="J60" s="19" t="str">
        <f t="shared" ref="J60:J62" si="46">IF(ISERROR(I60/E60),"",I60/E60)</f>
        <v/>
      </c>
      <c r="M60" s="11" t="s">
        <v>19</v>
      </c>
      <c r="N60" s="12"/>
      <c r="O60" s="20"/>
      <c r="P60" s="14">
        <f>IF($N$52&gt;0,$N$52,$N$51)</f>
        <v>2000</v>
      </c>
      <c r="Q60" s="15">
        <f t="shared" ref="Q60:Q64" si="47">O60*P60</f>
        <v>0</v>
      </c>
      <c r="R60" s="21">
        <f>O60</f>
        <v>0</v>
      </c>
      <c r="S60" s="100">
        <f>+$U$51</f>
        <v>1946</v>
      </c>
      <c r="T60" s="15">
        <f t="shared" ref="T60:T64" si="48">R60*S60</f>
        <v>0</v>
      </c>
      <c r="U60" s="18">
        <f t="shared" ref="U60:U65" si="49">+T60-Q60</f>
        <v>0</v>
      </c>
      <c r="V60" s="19" t="str">
        <f t="shared" ref="V60:V62" si="50">IF(ISERROR(U60/Q60),"",U60/Q60)</f>
        <v/>
      </c>
    </row>
    <row r="61" spans="1:22" x14ac:dyDescent="0.3">
      <c r="A61" s="11" t="s">
        <v>20</v>
      </c>
      <c r="B61" s="12"/>
      <c r="C61" s="20">
        <v>0</v>
      </c>
      <c r="D61" s="14">
        <f>IF($B$52&gt;0,$B$52,$B$51)</f>
        <v>825</v>
      </c>
      <c r="E61" s="15">
        <f t="shared" si="43"/>
        <v>0</v>
      </c>
      <c r="F61" s="21"/>
      <c r="G61" s="34">
        <f>+$I$51</f>
        <v>802.72500000000002</v>
      </c>
      <c r="H61" s="15">
        <f t="shared" si="44"/>
        <v>0</v>
      </c>
      <c r="I61" s="18">
        <f t="shared" si="45"/>
        <v>0</v>
      </c>
      <c r="J61" s="19" t="str">
        <f t="shared" si="46"/>
        <v/>
      </c>
      <c r="M61" s="11" t="s">
        <v>20</v>
      </c>
      <c r="N61" s="12"/>
      <c r="O61" s="20">
        <v>0</v>
      </c>
      <c r="P61" s="14">
        <f>IF($N$52&gt;0,$N$52,$N$51)</f>
        <v>2000</v>
      </c>
      <c r="Q61" s="15">
        <f t="shared" si="47"/>
        <v>0</v>
      </c>
      <c r="R61" s="21"/>
      <c r="S61" s="100">
        <f>+$U$51</f>
        <v>1946</v>
      </c>
      <c r="T61" s="15">
        <f t="shared" si="48"/>
        <v>0</v>
      </c>
      <c r="U61" s="18">
        <f t="shared" si="49"/>
        <v>0</v>
      </c>
      <c r="V61" s="19" t="str">
        <f t="shared" si="50"/>
        <v/>
      </c>
    </row>
    <row r="62" spans="1:22" x14ac:dyDescent="0.3">
      <c r="A62" s="11" t="s">
        <v>21</v>
      </c>
      <c r="B62" s="12"/>
      <c r="C62" s="20">
        <v>0</v>
      </c>
      <c r="D62" s="14">
        <f>IF($B$52&gt;0,$B$52,$B$51)</f>
        <v>825</v>
      </c>
      <c r="E62" s="15">
        <f t="shared" si="43"/>
        <v>0</v>
      </c>
      <c r="F62" s="21"/>
      <c r="G62" s="34">
        <f>+$I$51</f>
        <v>802.72500000000002</v>
      </c>
      <c r="H62" s="15">
        <f t="shared" si="44"/>
        <v>0</v>
      </c>
      <c r="I62" s="18">
        <f t="shared" si="45"/>
        <v>0</v>
      </c>
      <c r="J62" s="19" t="str">
        <f t="shared" si="46"/>
        <v/>
      </c>
      <c r="M62" s="11" t="s">
        <v>21</v>
      </c>
      <c r="N62" s="12"/>
      <c r="O62" s="20">
        <v>0</v>
      </c>
      <c r="P62" s="14">
        <f>IF($N$52&gt;0,$N$52,$N$51)</f>
        <v>2000</v>
      </c>
      <c r="Q62" s="15">
        <f t="shared" si="47"/>
        <v>0</v>
      </c>
      <c r="R62" s="21"/>
      <c r="S62" s="100">
        <f>+$U$51</f>
        <v>1946</v>
      </c>
      <c r="T62" s="15">
        <f t="shared" si="48"/>
        <v>0</v>
      </c>
      <c r="U62" s="18">
        <f t="shared" si="49"/>
        <v>0</v>
      </c>
      <c r="V62" s="19" t="str">
        <f t="shared" si="50"/>
        <v/>
      </c>
    </row>
    <row r="63" spans="1:22" x14ac:dyDescent="0.3">
      <c r="A63" s="22" t="s">
        <v>22</v>
      </c>
      <c r="B63" s="12"/>
      <c r="C63" s="13">
        <v>0.39</v>
      </c>
      <c r="D63" s="14">
        <v>1</v>
      </c>
      <c r="E63" s="15">
        <f t="shared" si="43"/>
        <v>0.39</v>
      </c>
      <c r="F63" s="16">
        <v>0.39</v>
      </c>
      <c r="G63" s="17">
        <v>1</v>
      </c>
      <c r="H63" s="15">
        <f t="shared" si="44"/>
        <v>0.39</v>
      </c>
      <c r="I63" s="18">
        <f t="shared" si="45"/>
        <v>0</v>
      </c>
      <c r="J63" s="19">
        <f>IF(ISERROR(I63/E63),"",I63/E63)</f>
        <v>0</v>
      </c>
      <c r="M63" s="22" t="s">
        <v>22</v>
      </c>
      <c r="N63" s="12"/>
      <c r="O63" s="13">
        <v>0.39</v>
      </c>
      <c r="P63" s="14">
        <v>1</v>
      </c>
      <c r="Q63" s="15">
        <f t="shared" si="47"/>
        <v>0.39</v>
      </c>
      <c r="R63" s="16">
        <v>0.39</v>
      </c>
      <c r="S63" s="17">
        <v>1</v>
      </c>
      <c r="T63" s="15">
        <f t="shared" si="48"/>
        <v>0.39</v>
      </c>
      <c r="U63" s="18">
        <f t="shared" si="49"/>
        <v>0</v>
      </c>
      <c r="V63" s="19">
        <f>IF(ISERROR(U63/Q63),"",U63/Q63)</f>
        <v>0</v>
      </c>
    </row>
    <row r="64" spans="1:22" x14ac:dyDescent="0.3">
      <c r="A64" s="117" t="s">
        <v>78</v>
      </c>
      <c r="B64" s="12"/>
      <c r="C64" s="13">
        <v>0</v>
      </c>
      <c r="D64" s="14">
        <v>1</v>
      </c>
      <c r="E64" s="15">
        <f t="shared" si="43"/>
        <v>0</v>
      </c>
      <c r="F64" s="16">
        <f>F16</f>
        <v>1.43</v>
      </c>
      <c r="G64" s="17">
        <v>1</v>
      </c>
      <c r="H64" s="15">
        <f t="shared" si="44"/>
        <v>1.43</v>
      </c>
      <c r="I64" s="18">
        <f t="shared" si="45"/>
        <v>1.43</v>
      </c>
      <c r="J64" s="19" t="str">
        <f>IF(ISERROR(I64/E64),"",I64/E64)</f>
        <v/>
      </c>
      <c r="M64" s="117" t="s">
        <v>78</v>
      </c>
      <c r="N64" s="12"/>
      <c r="O64" s="13">
        <v>0</v>
      </c>
      <c r="P64" s="14">
        <v>1</v>
      </c>
      <c r="Q64" s="15">
        <f t="shared" si="47"/>
        <v>0</v>
      </c>
      <c r="R64" s="16">
        <f>F64</f>
        <v>1.43</v>
      </c>
      <c r="S64" s="17">
        <v>1</v>
      </c>
      <c r="T64" s="15">
        <f t="shared" si="48"/>
        <v>1.43</v>
      </c>
      <c r="U64" s="18">
        <f t="shared" si="49"/>
        <v>1.43</v>
      </c>
      <c r="V64" s="19" t="str">
        <f>IF(ISERROR(U64/Q64),"",U64/Q64)</f>
        <v/>
      </c>
    </row>
    <row r="65" spans="1:22" x14ac:dyDescent="0.3">
      <c r="A65" s="22" t="s">
        <v>23</v>
      </c>
      <c r="B65" s="143"/>
      <c r="C65" s="52">
        <v>0</v>
      </c>
      <c r="D65" s="14">
        <f>IF($B$52&gt;0,$B$52,$B$51)</f>
        <v>825</v>
      </c>
      <c r="E65" s="144">
        <v>0</v>
      </c>
      <c r="F65" s="54"/>
      <c r="G65" s="34">
        <f>+$I$51</f>
        <v>802.72500000000002</v>
      </c>
      <c r="H65" s="144">
        <v>0</v>
      </c>
      <c r="I65" s="76">
        <f t="shared" si="45"/>
        <v>0</v>
      </c>
      <c r="J65" s="145" t="str">
        <f t="shared" ref="J65" si="51">IF(ISERROR(I65/E65),"",I65/E65)</f>
        <v/>
      </c>
      <c r="M65" s="22" t="s">
        <v>23</v>
      </c>
      <c r="N65" s="143"/>
      <c r="O65" s="52">
        <v>0</v>
      </c>
      <c r="P65" s="14">
        <f>IF($N$52&gt;0,$N$52,$N$51)</f>
        <v>2000</v>
      </c>
      <c r="Q65" s="144">
        <v>0</v>
      </c>
      <c r="R65" s="54"/>
      <c r="S65" s="100">
        <f>+$U$51</f>
        <v>1946</v>
      </c>
      <c r="T65" s="144">
        <v>0</v>
      </c>
      <c r="U65" s="76">
        <f t="shared" si="49"/>
        <v>0</v>
      </c>
      <c r="V65" s="145" t="str">
        <f t="shared" ref="V65" si="52">IF(ISERROR(U65/Q65),"",U65/Q65)</f>
        <v/>
      </c>
    </row>
    <row r="66" spans="1:22" x14ac:dyDescent="0.3">
      <c r="A66" s="23" t="s">
        <v>24</v>
      </c>
      <c r="B66" s="24"/>
      <c r="C66" s="25"/>
      <c r="D66" s="26"/>
      <c r="E66" s="27">
        <f>SUM(E59:E65)</f>
        <v>33.07</v>
      </c>
      <c r="F66" s="28"/>
      <c r="G66" s="29"/>
      <c r="H66" s="27">
        <f>SUM(H59:H65)</f>
        <v>35.120919999999998</v>
      </c>
      <c r="I66" s="30">
        <f>SUM(I59:I65)</f>
        <v>2.0509199999999979</v>
      </c>
      <c r="J66" s="31">
        <f>IF((E66)=0,"",(I66/E66))</f>
        <v>6.2017538554581128E-2</v>
      </c>
      <c r="M66" s="23" t="s">
        <v>24</v>
      </c>
      <c r="N66" s="24"/>
      <c r="O66" s="25"/>
      <c r="P66" s="26"/>
      <c r="Q66" s="27">
        <f>SUM(Q59:Q65)</f>
        <v>33.07</v>
      </c>
      <c r="R66" s="28"/>
      <c r="S66" s="29"/>
      <c r="T66" s="27">
        <f>SUM(T59:T65)</f>
        <v>35.120919999999998</v>
      </c>
      <c r="U66" s="30">
        <f>SUM(U59:U65)</f>
        <v>2.0509199999999979</v>
      </c>
      <c r="V66" s="31">
        <f>IF((Q66)=0,"",(U66/Q66))</f>
        <v>6.2017538554581128E-2</v>
      </c>
    </row>
    <row r="67" spans="1:22" x14ac:dyDescent="0.3">
      <c r="A67" s="32" t="s">
        <v>25</v>
      </c>
      <c r="B67" s="12"/>
      <c r="C67" s="140">
        <f>C83*0.64+C84*0.18+C85*0.18</f>
        <v>0.128</v>
      </c>
      <c r="D67" s="33">
        <f>IF(C67=0,0,$B$51*B53-B51)</f>
        <v>39.682500000000005</v>
      </c>
      <c r="E67" s="15">
        <f>C67*D67</f>
        <v>5.0793600000000003</v>
      </c>
      <c r="F67" s="140">
        <f>F83*0.64+F84*0.18+F85*0.18</f>
        <v>0.128</v>
      </c>
      <c r="G67" s="33">
        <f>IF(F67=0,0,$I$51*B54-I51)</f>
        <v>38.611072499999977</v>
      </c>
      <c r="H67" s="15">
        <f t="shared" ref="H67" si="53">F67*G67</f>
        <v>4.9422172799999968</v>
      </c>
      <c r="I67" s="18">
        <f t="shared" ref="I67:I74" si="54">+H67-E67</f>
        <v>-0.13714272000000349</v>
      </c>
      <c r="J67" s="19">
        <f t="shared" ref="J67:J74" si="55">IF(ISERROR(I67/E67),"",I67/E67)</f>
        <v>-2.7000000000000687E-2</v>
      </c>
      <c r="M67" s="32" t="s">
        <v>25</v>
      </c>
      <c r="N67" s="12"/>
      <c r="O67" s="140">
        <f>O83*0.64+O84*0.18+O85*0.18</f>
        <v>0.128</v>
      </c>
      <c r="P67" s="33">
        <f>IF(O67=0,0,$N$51*N53-N51)</f>
        <v>96.200000000000273</v>
      </c>
      <c r="Q67" s="15">
        <f>O67*P67</f>
        <v>12.313600000000035</v>
      </c>
      <c r="R67" s="140">
        <f>R83*0.64+R84*0.18+R85*0.18</f>
        <v>0.128</v>
      </c>
      <c r="S67" s="33">
        <f>IF(R67=0,0,$U$51*N54-U51)</f>
        <v>93.602600000000166</v>
      </c>
      <c r="T67" s="15">
        <f t="shared" ref="T67" si="56">R67*S67</f>
        <v>11.981132800000022</v>
      </c>
      <c r="U67" s="18">
        <f t="shared" ref="U67:U74" si="57">+T67-Q67</f>
        <v>-0.3324672000000124</v>
      </c>
      <c r="V67" s="19">
        <f t="shared" ref="V67:V74" si="58">IF(ISERROR(U67/Q67),"",U67/Q67)</f>
        <v>-2.700000000000093E-2</v>
      </c>
    </row>
    <row r="68" spans="1:22" ht="26.4" x14ac:dyDescent="0.3">
      <c r="A68" s="32" t="s">
        <v>26</v>
      </c>
      <c r="B68" s="143"/>
      <c r="C68" s="20">
        <v>0</v>
      </c>
      <c r="D68" s="14">
        <f>IF($B$52&gt;0,$B$52,$B$51)</f>
        <v>825</v>
      </c>
      <c r="E68" s="144">
        <v>0</v>
      </c>
      <c r="F68" s="54">
        <f>C68</f>
        <v>0</v>
      </c>
      <c r="G68" s="34">
        <f>+$I$51</f>
        <v>802.72500000000002</v>
      </c>
      <c r="H68" s="144">
        <v>0</v>
      </c>
      <c r="I68" s="76">
        <f t="shared" si="54"/>
        <v>0</v>
      </c>
      <c r="J68" s="145" t="str">
        <f t="shared" si="55"/>
        <v/>
      </c>
      <c r="M68" s="32" t="s">
        <v>26</v>
      </c>
      <c r="N68" s="143"/>
      <c r="O68" s="20">
        <v>0</v>
      </c>
      <c r="P68" s="14">
        <f>IF($N$52&gt;0,$N$52,$N$51)</f>
        <v>2000</v>
      </c>
      <c r="Q68" s="144">
        <v>0</v>
      </c>
      <c r="R68" s="54">
        <f>O68</f>
        <v>0</v>
      </c>
      <c r="S68" s="100">
        <f>+$U$51</f>
        <v>1946</v>
      </c>
      <c r="T68" s="144">
        <v>0</v>
      </c>
      <c r="U68" s="76">
        <f t="shared" si="57"/>
        <v>0</v>
      </c>
      <c r="V68" s="145" t="str">
        <f t="shared" si="58"/>
        <v/>
      </c>
    </row>
    <row r="69" spans="1:22" x14ac:dyDescent="0.3">
      <c r="A69" s="32" t="s">
        <v>27</v>
      </c>
      <c r="B69" s="12"/>
      <c r="C69" s="20">
        <v>0</v>
      </c>
      <c r="D69" s="14">
        <f>IF($B$52&gt;0,$B$52,$B$51)</f>
        <v>825</v>
      </c>
      <c r="E69" s="15">
        <f t="shared" ref="E69:E74" si="59">C69*D69</f>
        <v>0</v>
      </c>
      <c r="F69" s="21">
        <v>0</v>
      </c>
      <c r="G69" s="34">
        <f>+$I$51</f>
        <v>802.72500000000002</v>
      </c>
      <c r="H69" s="15">
        <f t="shared" ref="H69:H74" si="60">F69*G69</f>
        <v>0</v>
      </c>
      <c r="I69" s="18">
        <f t="shared" si="54"/>
        <v>0</v>
      </c>
      <c r="J69" s="19" t="str">
        <f t="shared" si="55"/>
        <v/>
      </c>
      <c r="M69" s="32" t="s">
        <v>27</v>
      </c>
      <c r="N69" s="12"/>
      <c r="O69" s="20">
        <v>0</v>
      </c>
      <c r="P69" s="14">
        <f>IF($N$52&gt;0,$N$52,$N$51)</f>
        <v>2000</v>
      </c>
      <c r="Q69" s="15">
        <f t="shared" ref="Q69:Q74" si="61">O69*P69</f>
        <v>0</v>
      </c>
      <c r="R69" s="21">
        <v>0</v>
      </c>
      <c r="S69" s="100">
        <f>+$U$51</f>
        <v>1946</v>
      </c>
      <c r="T69" s="15">
        <f t="shared" ref="T69:T74" si="62">R69*S69</f>
        <v>0</v>
      </c>
      <c r="U69" s="18">
        <f t="shared" si="57"/>
        <v>0</v>
      </c>
      <c r="V69" s="19" t="str">
        <f t="shared" si="58"/>
        <v/>
      </c>
    </row>
    <row r="70" spans="1:22" x14ac:dyDescent="0.3">
      <c r="A70" s="32" t="s">
        <v>28</v>
      </c>
      <c r="B70" s="12"/>
      <c r="C70" s="20">
        <v>0</v>
      </c>
      <c r="D70" s="14">
        <f>IF($B$52&gt;0,$B$52,$B$51)</f>
        <v>825</v>
      </c>
      <c r="E70" s="15">
        <f t="shared" si="59"/>
        <v>0</v>
      </c>
      <c r="F70" s="21">
        <v>0</v>
      </c>
      <c r="G70" s="34">
        <f>+$I$51</f>
        <v>802.72500000000002</v>
      </c>
      <c r="H70" s="15">
        <f t="shared" si="60"/>
        <v>0</v>
      </c>
      <c r="I70" s="18">
        <f t="shared" si="54"/>
        <v>0</v>
      </c>
      <c r="J70" s="19" t="str">
        <f t="shared" si="55"/>
        <v/>
      </c>
      <c r="M70" s="32" t="s">
        <v>28</v>
      </c>
      <c r="N70" s="12"/>
      <c r="O70" s="20">
        <v>0</v>
      </c>
      <c r="P70" s="14">
        <f>IF($N$52&gt;0,$N$52,$N$51)</f>
        <v>2000</v>
      </c>
      <c r="Q70" s="15">
        <f t="shared" si="61"/>
        <v>0</v>
      </c>
      <c r="R70" s="21">
        <v>0</v>
      </c>
      <c r="S70" s="100">
        <f>+$U$51</f>
        <v>1946</v>
      </c>
      <c r="T70" s="15">
        <f t="shared" si="62"/>
        <v>0</v>
      </c>
      <c r="U70" s="18">
        <f t="shared" si="57"/>
        <v>0</v>
      </c>
      <c r="V70" s="19" t="str">
        <f t="shared" si="58"/>
        <v/>
      </c>
    </row>
    <row r="71" spans="1:22" x14ac:dyDescent="0.3">
      <c r="A71" s="35" t="s">
        <v>29</v>
      </c>
      <c r="B71" s="12"/>
      <c r="C71" s="20">
        <v>0</v>
      </c>
      <c r="D71" s="14">
        <f>IF($B$52&gt;0,$B$52,$B$51)</f>
        <v>825</v>
      </c>
      <c r="E71" s="15">
        <f t="shared" si="59"/>
        <v>0</v>
      </c>
      <c r="F71" s="21">
        <v>0</v>
      </c>
      <c r="G71" s="34">
        <f>+$I$51</f>
        <v>802.72500000000002</v>
      </c>
      <c r="H71" s="15">
        <f t="shared" si="60"/>
        <v>0</v>
      </c>
      <c r="I71" s="18">
        <f t="shared" si="54"/>
        <v>0</v>
      </c>
      <c r="J71" s="19" t="str">
        <f t="shared" si="55"/>
        <v/>
      </c>
      <c r="M71" s="35" t="s">
        <v>29</v>
      </c>
      <c r="N71" s="12"/>
      <c r="O71" s="20">
        <v>0</v>
      </c>
      <c r="P71" s="14">
        <f>IF($N$52&gt;0,$N$52,$N$51)</f>
        <v>2000</v>
      </c>
      <c r="Q71" s="15">
        <f t="shared" si="61"/>
        <v>0</v>
      </c>
      <c r="R71" s="21">
        <v>0</v>
      </c>
      <c r="S71" s="100">
        <f>+$U$51</f>
        <v>1946</v>
      </c>
      <c r="T71" s="15">
        <f t="shared" si="62"/>
        <v>0</v>
      </c>
      <c r="U71" s="18">
        <f t="shared" si="57"/>
        <v>0</v>
      </c>
      <c r="V71" s="19" t="str">
        <f t="shared" si="58"/>
        <v/>
      </c>
    </row>
    <row r="72" spans="1:22" x14ac:dyDescent="0.3">
      <c r="A72" s="36" t="s">
        <v>30</v>
      </c>
      <c r="B72" s="12"/>
      <c r="C72" s="37">
        <v>0.56999999999999995</v>
      </c>
      <c r="D72" s="14">
        <v>1</v>
      </c>
      <c r="E72" s="15">
        <f t="shared" si="59"/>
        <v>0.56999999999999995</v>
      </c>
      <c r="F72" s="38">
        <v>0.56999999999999995</v>
      </c>
      <c r="G72" s="14">
        <v>1</v>
      </c>
      <c r="H72" s="15">
        <f t="shared" si="60"/>
        <v>0.56999999999999995</v>
      </c>
      <c r="I72" s="18">
        <f t="shared" si="54"/>
        <v>0</v>
      </c>
      <c r="J72" s="19">
        <f t="shared" si="55"/>
        <v>0</v>
      </c>
      <c r="M72" s="36" t="s">
        <v>30</v>
      </c>
      <c r="N72" s="12"/>
      <c r="O72" s="37">
        <v>0.56999999999999995</v>
      </c>
      <c r="P72" s="14">
        <v>1</v>
      </c>
      <c r="Q72" s="15">
        <f t="shared" si="61"/>
        <v>0.56999999999999995</v>
      </c>
      <c r="R72" s="38">
        <v>0.56999999999999995</v>
      </c>
      <c r="S72" s="14">
        <v>1</v>
      </c>
      <c r="T72" s="15">
        <f t="shared" si="62"/>
        <v>0.56999999999999995</v>
      </c>
      <c r="U72" s="18">
        <f t="shared" si="57"/>
        <v>0</v>
      </c>
      <c r="V72" s="19">
        <f t="shared" si="58"/>
        <v>0</v>
      </c>
    </row>
    <row r="73" spans="1:22" x14ac:dyDescent="0.3">
      <c r="A73" s="35" t="s">
        <v>31</v>
      </c>
      <c r="B73" s="12"/>
      <c r="C73" s="13">
        <v>0</v>
      </c>
      <c r="D73" s="14">
        <v>1</v>
      </c>
      <c r="E73" s="15">
        <f t="shared" si="59"/>
        <v>0</v>
      </c>
      <c r="F73" s="16">
        <v>0</v>
      </c>
      <c r="G73" s="14">
        <v>1</v>
      </c>
      <c r="H73" s="15">
        <f t="shared" si="60"/>
        <v>0</v>
      </c>
      <c r="I73" s="18">
        <f t="shared" si="54"/>
        <v>0</v>
      </c>
      <c r="J73" s="19" t="str">
        <f t="shared" si="55"/>
        <v/>
      </c>
      <c r="M73" s="35" t="s">
        <v>31</v>
      </c>
      <c r="N73" s="12"/>
      <c r="O73" s="13">
        <v>0</v>
      </c>
      <c r="P73" s="14">
        <v>1</v>
      </c>
      <c r="Q73" s="15">
        <f t="shared" si="61"/>
        <v>0</v>
      </c>
      <c r="R73" s="16">
        <v>0</v>
      </c>
      <c r="S73" s="14">
        <v>1</v>
      </c>
      <c r="T73" s="15">
        <f t="shared" si="62"/>
        <v>0</v>
      </c>
      <c r="U73" s="18">
        <f t="shared" si="57"/>
        <v>0</v>
      </c>
      <c r="V73" s="19" t="str">
        <f t="shared" si="58"/>
        <v/>
      </c>
    </row>
    <row r="74" spans="1:22" x14ac:dyDescent="0.3">
      <c r="A74" s="35" t="s">
        <v>32</v>
      </c>
      <c r="B74" s="12"/>
      <c r="C74" s="20">
        <v>-4.0000000000000002E-4</v>
      </c>
      <c r="D74" s="14">
        <f>IF($B$52&gt;0,$B$52,$B$51)</f>
        <v>825</v>
      </c>
      <c r="E74" s="15">
        <f t="shared" si="59"/>
        <v>-0.33</v>
      </c>
      <c r="F74" s="21">
        <v>-4.0000000000000002E-4</v>
      </c>
      <c r="G74" s="34">
        <f>+$I$51</f>
        <v>802.72500000000002</v>
      </c>
      <c r="H74" s="15">
        <f t="shared" si="60"/>
        <v>-0.32109000000000004</v>
      </c>
      <c r="I74" s="18">
        <f t="shared" si="54"/>
        <v>8.9099999999999735E-3</v>
      </c>
      <c r="J74" s="19">
        <f t="shared" si="55"/>
        <v>-2.699999999999992E-2</v>
      </c>
      <c r="M74" s="35" t="s">
        <v>32</v>
      </c>
      <c r="N74" s="12"/>
      <c r="O74" s="20">
        <v>-4.0000000000000002E-4</v>
      </c>
      <c r="P74" s="14">
        <f>IF($N$52&gt;0,$N$52,$N$51)</f>
        <v>2000</v>
      </c>
      <c r="Q74" s="15">
        <f t="shared" si="61"/>
        <v>-0.8</v>
      </c>
      <c r="R74" s="21">
        <v>-4.0000000000000002E-4</v>
      </c>
      <c r="S74" s="100">
        <f>+$U$51</f>
        <v>1946</v>
      </c>
      <c r="T74" s="15">
        <f t="shared" si="62"/>
        <v>-0.77840000000000009</v>
      </c>
      <c r="U74" s="18">
        <f t="shared" si="57"/>
        <v>2.1599999999999953E-2</v>
      </c>
      <c r="V74" s="19">
        <f t="shared" si="58"/>
        <v>-2.6999999999999941E-2</v>
      </c>
    </row>
    <row r="75" spans="1:22" ht="26.4" x14ac:dyDescent="0.3">
      <c r="A75" s="39" t="s">
        <v>33</v>
      </c>
      <c r="B75" s="40"/>
      <c r="C75" s="41"/>
      <c r="D75" s="42"/>
      <c r="E75" s="43">
        <f>SUM(E66:E74)</f>
        <v>38.389360000000003</v>
      </c>
      <c r="F75" s="44"/>
      <c r="G75" s="45"/>
      <c r="H75" s="43">
        <f>SUM(H66:H74)</f>
        <v>40.312047279999994</v>
      </c>
      <c r="I75" s="30">
        <f>SUM(I66:I74)</f>
        <v>1.9226872799999943</v>
      </c>
      <c r="J75" s="31">
        <f>IF((E75)=0,"",(I75/E75))</f>
        <v>5.0083858652501478E-2</v>
      </c>
      <c r="M75" s="39" t="s">
        <v>33</v>
      </c>
      <c r="N75" s="40"/>
      <c r="O75" s="41"/>
      <c r="P75" s="42"/>
      <c r="Q75" s="43">
        <f>SUM(Q66:Q74)</f>
        <v>45.15360000000004</v>
      </c>
      <c r="R75" s="44"/>
      <c r="S75" s="45"/>
      <c r="T75" s="43">
        <f>SUM(T66:T74)</f>
        <v>46.893652800000027</v>
      </c>
      <c r="U75" s="30">
        <f>SUM(U66:U74)</f>
        <v>1.7400527999999853</v>
      </c>
      <c r="V75" s="31">
        <f>IF((Q75)=0,"",(U75/Q75))</f>
        <v>3.8536302753268484E-2</v>
      </c>
    </row>
    <row r="76" spans="1:22" x14ac:dyDescent="0.3">
      <c r="A76" s="46" t="s">
        <v>34</v>
      </c>
      <c r="B76" s="12"/>
      <c r="C76" s="20">
        <v>6.3E-3</v>
      </c>
      <c r="D76" s="33">
        <f>IF($B$52&gt;0,$B$52,$B$51*$B$53)</f>
        <v>864.6825</v>
      </c>
      <c r="E76" s="15">
        <f t="shared" ref="E76:E77" si="63">C76*D76</f>
        <v>5.4474997500000004</v>
      </c>
      <c r="F76" s="21">
        <f>C76</f>
        <v>6.3E-3</v>
      </c>
      <c r="G76" s="33">
        <f>+$I$51*$B$6</f>
        <v>841.3360725</v>
      </c>
      <c r="H76" s="15">
        <f t="shared" ref="H76:H77" si="64">F76*G76</f>
        <v>5.3004172567500003</v>
      </c>
      <c r="I76" s="18">
        <f t="shared" ref="I76:I77" si="65">+H76-E76</f>
        <v>-0.14708249325000011</v>
      </c>
      <c r="J76" s="19">
        <f t="shared" ref="J76:J77" si="66">IF(ISERROR(I76/E76),"",I76/E76)</f>
        <v>-2.7000000000000017E-2</v>
      </c>
      <c r="M76" s="46" t="s">
        <v>34</v>
      </c>
      <c r="N76" s="12"/>
      <c r="O76" s="20">
        <v>6.3E-3</v>
      </c>
      <c r="P76" s="33">
        <f>IF($N$52&gt;0,$N$52,$N$51*$N$53)</f>
        <v>2096.2000000000003</v>
      </c>
      <c r="Q76" s="15">
        <f t="shared" ref="Q76:Q77" si="67">O76*P76</f>
        <v>13.206060000000003</v>
      </c>
      <c r="R76" s="21">
        <f>O76</f>
        <v>6.3E-3</v>
      </c>
      <c r="S76" s="33">
        <f>+$U$51*$N$54</f>
        <v>2039.6026000000002</v>
      </c>
      <c r="T76" s="15">
        <f t="shared" ref="T76:T77" si="68">R76*S76</f>
        <v>12.849496380000001</v>
      </c>
      <c r="U76" s="18">
        <f t="shared" ref="U76:U77" si="69">+T76-Q76</f>
        <v>-0.35656362000000108</v>
      </c>
      <c r="V76" s="19">
        <f t="shared" ref="V76:V77" si="70">IF(ISERROR(U76/Q76),"",U76/Q76)</f>
        <v>-2.7000000000000076E-2</v>
      </c>
    </row>
    <row r="77" spans="1:22" ht="26.4" x14ac:dyDescent="0.3">
      <c r="A77" s="47" t="s">
        <v>35</v>
      </c>
      <c r="B77" s="12"/>
      <c r="C77" s="20">
        <v>0</v>
      </c>
      <c r="D77" s="33">
        <f>IF($B$52&gt;0,$B$52,$B$51*$B$53)</f>
        <v>864.6825</v>
      </c>
      <c r="E77" s="15">
        <f t="shared" si="63"/>
        <v>0</v>
      </c>
      <c r="F77" s="21">
        <v>0</v>
      </c>
      <c r="G77" s="33">
        <f>+$I$51*$B$6</f>
        <v>841.3360725</v>
      </c>
      <c r="H77" s="15">
        <f t="shared" si="64"/>
        <v>0</v>
      </c>
      <c r="I77" s="18">
        <f t="shared" si="65"/>
        <v>0</v>
      </c>
      <c r="J77" s="19" t="str">
        <f t="shared" si="66"/>
        <v/>
      </c>
      <c r="M77" s="47" t="s">
        <v>35</v>
      </c>
      <c r="N77" s="12"/>
      <c r="O77" s="20">
        <v>0</v>
      </c>
      <c r="P77" s="33">
        <f>IF($N$52&gt;0,$N$52,$N$51*$N$53)</f>
        <v>2096.2000000000003</v>
      </c>
      <c r="Q77" s="15">
        <f t="shared" si="67"/>
        <v>0</v>
      </c>
      <c r="R77" s="21">
        <v>0</v>
      </c>
      <c r="S77" s="33">
        <f>+$U$51*$N$54</f>
        <v>2039.6026000000002</v>
      </c>
      <c r="T77" s="15">
        <f t="shared" si="68"/>
        <v>0</v>
      </c>
      <c r="U77" s="18">
        <f t="shared" si="69"/>
        <v>0</v>
      </c>
      <c r="V77" s="19" t="str">
        <f t="shared" si="70"/>
        <v/>
      </c>
    </row>
    <row r="78" spans="1:22" ht="26.4" x14ac:dyDescent="0.3">
      <c r="A78" s="39" t="s">
        <v>36</v>
      </c>
      <c r="B78" s="24"/>
      <c r="C78" s="41"/>
      <c r="D78" s="42"/>
      <c r="E78" s="43">
        <f>SUM(E75:E77)</f>
        <v>43.836859750000002</v>
      </c>
      <c r="F78" s="44"/>
      <c r="G78" s="29"/>
      <c r="H78" s="43">
        <f>SUM(H75:H77)</f>
        <v>45.612464536749997</v>
      </c>
      <c r="I78" s="30">
        <f>SUM(I75:I77)</f>
        <v>1.7756047867499942</v>
      </c>
      <c r="J78" s="31">
        <f>IF((E78)=0,"",(I78/E78))</f>
        <v>4.0504835357190343E-2</v>
      </c>
      <c r="M78" s="39" t="s">
        <v>36</v>
      </c>
      <c r="N78" s="24"/>
      <c r="O78" s="41"/>
      <c r="P78" s="42"/>
      <c r="Q78" s="43">
        <f>SUM(Q75:Q77)</f>
        <v>58.359660000000041</v>
      </c>
      <c r="R78" s="44"/>
      <c r="S78" s="29"/>
      <c r="T78" s="43">
        <f>SUM(T75:T77)</f>
        <v>59.743149180000032</v>
      </c>
      <c r="U78" s="30">
        <f>SUM(U75:U77)</f>
        <v>1.3834891799999842</v>
      </c>
      <c r="V78" s="31">
        <f>IF((Q78)=0,"",(U78/Q78))</f>
        <v>2.3706258398352272E-2</v>
      </c>
    </row>
    <row r="79" spans="1:22" ht="26.4" x14ac:dyDescent="0.3">
      <c r="A79" s="48" t="s">
        <v>37</v>
      </c>
      <c r="B79" s="12"/>
      <c r="C79" s="20">
        <v>3.3999999999999998E-3</v>
      </c>
      <c r="D79" s="33">
        <f>IF($B$52&gt;0,$B$52,$B$51*$B$53)</f>
        <v>864.6825</v>
      </c>
      <c r="E79" s="49">
        <f t="shared" ref="E79:E87" si="71">C79*D79</f>
        <v>2.9399204999999999</v>
      </c>
      <c r="F79" s="21">
        <v>3.3999999999999998E-3</v>
      </c>
      <c r="G79" s="33">
        <f>+$I$51*$B$6</f>
        <v>841.3360725</v>
      </c>
      <c r="H79" s="49">
        <f t="shared" ref="H79:H87" si="72">F79*G79</f>
        <v>2.8605426464999999</v>
      </c>
      <c r="I79" s="18">
        <f t="shared" ref="I79:I87" si="73">+H79-E79</f>
        <v>-7.937785350000004E-2</v>
      </c>
      <c r="J79" s="19">
        <f t="shared" ref="J79:J87" si="74">IF(ISERROR(I79/E79),"",I79/E79)</f>
        <v>-2.7000000000000014E-2</v>
      </c>
      <c r="M79" s="48" t="s">
        <v>37</v>
      </c>
      <c r="N79" s="12"/>
      <c r="O79" s="20">
        <v>3.3999999999999998E-3</v>
      </c>
      <c r="P79" s="33">
        <f>IF($N$52&gt;0,$N$52,$N$51*$N$53)</f>
        <v>2096.2000000000003</v>
      </c>
      <c r="Q79" s="49">
        <f t="shared" ref="Q79:Q87" si="75">O79*P79</f>
        <v>7.1270800000000003</v>
      </c>
      <c r="R79" s="21">
        <v>3.3999999999999998E-3</v>
      </c>
      <c r="S79" s="33">
        <f>+$U$51*$N$54</f>
        <v>2039.6026000000002</v>
      </c>
      <c r="T79" s="49">
        <f t="shared" ref="T79:T87" si="76">R79*S79</f>
        <v>6.9346488400000004</v>
      </c>
      <c r="U79" s="18">
        <f t="shared" ref="U79:U87" si="77">+T79-Q79</f>
        <v>-0.19243115999999993</v>
      </c>
      <c r="V79" s="19">
        <f t="shared" ref="V79:V87" si="78">IF(ISERROR(U79/Q79),"",U79/Q79)</f>
        <v>-2.6999999999999989E-2</v>
      </c>
    </row>
    <row r="80" spans="1:22" ht="26.4" x14ac:dyDescent="0.3">
      <c r="A80" s="48" t="s">
        <v>38</v>
      </c>
      <c r="B80" s="12"/>
      <c r="C80" s="20">
        <v>5.0000000000000001E-4</v>
      </c>
      <c r="D80" s="33">
        <f>IF($B$52&gt;0,$B$52,$B$51*$B$53)</f>
        <v>864.6825</v>
      </c>
      <c r="E80" s="49">
        <f t="shared" si="71"/>
        <v>0.43234125000000001</v>
      </c>
      <c r="F80" s="21">
        <v>5.0000000000000001E-4</v>
      </c>
      <c r="G80" s="33">
        <f>+$I$51*$B$6</f>
        <v>841.3360725</v>
      </c>
      <c r="H80" s="49">
        <f t="shared" si="72"/>
        <v>0.42066803624999999</v>
      </c>
      <c r="I80" s="18">
        <f t="shared" si="73"/>
        <v>-1.1673213750000022E-2</v>
      </c>
      <c r="J80" s="19">
        <f t="shared" si="74"/>
        <v>-2.7000000000000052E-2</v>
      </c>
      <c r="M80" s="48" t="s">
        <v>38</v>
      </c>
      <c r="N80" s="12"/>
      <c r="O80" s="20">
        <v>5.0000000000000001E-4</v>
      </c>
      <c r="P80" s="33">
        <f>IF($N$52&gt;0,$N$52,$N$51*$N$53)</f>
        <v>2096.2000000000003</v>
      </c>
      <c r="Q80" s="49">
        <f t="shared" si="75"/>
        <v>1.0481000000000003</v>
      </c>
      <c r="R80" s="21">
        <v>5.0000000000000001E-4</v>
      </c>
      <c r="S80" s="33">
        <f>+$U$51*$N$54</f>
        <v>2039.6026000000002</v>
      </c>
      <c r="T80" s="49">
        <f t="shared" si="76"/>
        <v>1.0198013000000001</v>
      </c>
      <c r="U80" s="18">
        <f t="shared" si="77"/>
        <v>-2.8298700000000121E-2</v>
      </c>
      <c r="V80" s="19">
        <f t="shared" si="78"/>
        <v>-2.7000000000000107E-2</v>
      </c>
    </row>
    <row r="81" spans="1:22" x14ac:dyDescent="0.3">
      <c r="A81" s="50" t="s">
        <v>39</v>
      </c>
      <c r="B81" s="12"/>
      <c r="C81" s="37">
        <v>0.25</v>
      </c>
      <c r="D81" s="14">
        <v>1</v>
      </c>
      <c r="E81" s="49">
        <f t="shared" si="71"/>
        <v>0.25</v>
      </c>
      <c r="F81" s="38">
        <v>0.25</v>
      </c>
      <c r="G81" s="17">
        <v>1</v>
      </c>
      <c r="H81" s="49">
        <f t="shared" si="72"/>
        <v>0.25</v>
      </c>
      <c r="I81" s="18">
        <f t="shared" si="73"/>
        <v>0</v>
      </c>
      <c r="J81" s="19">
        <f t="shared" si="74"/>
        <v>0</v>
      </c>
      <c r="M81" s="50" t="s">
        <v>39</v>
      </c>
      <c r="N81" s="12"/>
      <c r="O81" s="37">
        <v>0.25</v>
      </c>
      <c r="P81" s="14">
        <v>1</v>
      </c>
      <c r="Q81" s="49">
        <f t="shared" si="75"/>
        <v>0.25</v>
      </c>
      <c r="R81" s="38">
        <v>0.25</v>
      </c>
      <c r="S81" s="17">
        <v>1</v>
      </c>
      <c r="T81" s="49">
        <f t="shared" si="76"/>
        <v>0.25</v>
      </c>
      <c r="U81" s="18">
        <f t="shared" si="77"/>
        <v>0</v>
      </c>
      <c r="V81" s="19">
        <f t="shared" si="78"/>
        <v>0</v>
      </c>
    </row>
    <row r="82" spans="1:22" ht="26.4" x14ac:dyDescent="0.3">
      <c r="A82" s="48" t="s">
        <v>40</v>
      </c>
      <c r="B82" s="12"/>
      <c r="C82" s="20">
        <v>0</v>
      </c>
      <c r="D82" s="33"/>
      <c r="E82" s="49">
        <f t="shared" si="71"/>
        <v>0</v>
      </c>
      <c r="F82" s="21"/>
      <c r="G82" s="33"/>
      <c r="H82" s="49">
        <f t="shared" si="72"/>
        <v>0</v>
      </c>
      <c r="I82" s="18">
        <f t="shared" si="73"/>
        <v>0</v>
      </c>
      <c r="J82" s="19" t="str">
        <f t="shared" si="74"/>
        <v/>
      </c>
      <c r="M82" s="48" t="s">
        <v>40</v>
      </c>
      <c r="N82" s="12"/>
      <c r="O82" s="20">
        <v>0</v>
      </c>
      <c r="P82" s="33"/>
      <c r="Q82" s="49">
        <f t="shared" si="75"/>
        <v>0</v>
      </c>
      <c r="R82" s="21"/>
      <c r="S82" s="33"/>
      <c r="T82" s="49">
        <f t="shared" si="76"/>
        <v>0</v>
      </c>
      <c r="U82" s="18">
        <f t="shared" si="77"/>
        <v>0</v>
      </c>
      <c r="V82" s="19" t="str">
        <f t="shared" si="78"/>
        <v/>
      </c>
    </row>
    <row r="83" spans="1:22" x14ac:dyDescent="0.3">
      <c r="A83" s="51" t="s">
        <v>41</v>
      </c>
      <c r="B83" s="12"/>
      <c r="C83" s="52">
        <f>C35</f>
        <v>0.10100000000000001</v>
      </c>
      <c r="D83" s="53">
        <f>IF(AND(B51*12&gt;=150000),0.65*B51*B53,0.65*B51)</f>
        <v>536.25</v>
      </c>
      <c r="E83" s="49">
        <f t="shared" si="71"/>
        <v>54.161250000000003</v>
      </c>
      <c r="F83" s="54">
        <f>C83</f>
        <v>0.10100000000000001</v>
      </c>
      <c r="G83" s="53">
        <f>IF(AND(I51*12&gt;=150000),0.65*I51*B54,0.65*I51)</f>
        <v>521.77125000000001</v>
      </c>
      <c r="H83" s="49">
        <f t="shared" si="72"/>
        <v>52.698896250000004</v>
      </c>
      <c r="I83" s="18">
        <f t="shared" si="73"/>
        <v>-1.4623537499999983</v>
      </c>
      <c r="J83" s="19">
        <f t="shared" si="74"/>
        <v>-2.6999999999999968E-2</v>
      </c>
      <c r="M83" s="51" t="s">
        <v>41</v>
      </c>
      <c r="N83" s="12"/>
      <c r="O83" s="52">
        <f>C35</f>
        <v>0.10100000000000001</v>
      </c>
      <c r="P83" s="53">
        <f>IF(AND(N51*12&gt;=150000),0.65*N51*N53,0.65*N51)</f>
        <v>1300</v>
      </c>
      <c r="Q83" s="49">
        <f t="shared" si="75"/>
        <v>131.30000000000001</v>
      </c>
      <c r="R83" s="54">
        <f>O83</f>
        <v>0.10100000000000001</v>
      </c>
      <c r="S83" s="53">
        <f>IF(AND(U51*12&gt;=150000),0.65*U51*N54,0.65*U51)</f>
        <v>1264.9000000000001</v>
      </c>
      <c r="T83" s="49">
        <f t="shared" si="76"/>
        <v>127.75490000000002</v>
      </c>
      <c r="U83" s="18">
        <f t="shared" si="77"/>
        <v>-3.5450999999999908</v>
      </c>
      <c r="V83" s="19">
        <f t="shared" si="78"/>
        <v>-2.6999999999999927E-2</v>
      </c>
    </row>
    <row r="84" spans="1:22" x14ac:dyDescent="0.3">
      <c r="A84" s="51" t="s">
        <v>42</v>
      </c>
      <c r="B84" s="12"/>
      <c r="C84" s="52">
        <f t="shared" ref="C84:C85" si="79">C36</f>
        <v>0.14399999999999999</v>
      </c>
      <c r="D84" s="53">
        <f>IF(AND(B51*12&gt;=150000),0.17*B51*B53,0.17*B51)</f>
        <v>140.25</v>
      </c>
      <c r="E84" s="49">
        <f t="shared" si="71"/>
        <v>20.195999999999998</v>
      </c>
      <c r="F84" s="54">
        <f t="shared" ref="F84:F85" si="80">C84</f>
        <v>0.14399999999999999</v>
      </c>
      <c r="G84" s="53">
        <f>IF(AND(I51*12&gt;=150000),0.17*I51*B54,0.17*I51)</f>
        <v>136.46325000000002</v>
      </c>
      <c r="H84" s="49">
        <f t="shared" si="72"/>
        <v>19.650708000000002</v>
      </c>
      <c r="I84" s="18">
        <f t="shared" si="73"/>
        <v>-0.54529199999999634</v>
      </c>
      <c r="J84" s="19">
        <f t="shared" si="74"/>
        <v>-2.6999999999999823E-2</v>
      </c>
      <c r="M84" s="51" t="s">
        <v>42</v>
      </c>
      <c r="N84" s="12"/>
      <c r="O84" s="52">
        <f t="shared" ref="O84:O85" si="81">C36</f>
        <v>0.14399999999999999</v>
      </c>
      <c r="P84" s="53">
        <f>IF(AND(N51*12&gt;=150000),0.17*N51*N53,0.17*N51)</f>
        <v>340</v>
      </c>
      <c r="Q84" s="49">
        <f t="shared" si="75"/>
        <v>48.959999999999994</v>
      </c>
      <c r="R84" s="54">
        <f t="shared" ref="R84:R85" si="82">O84</f>
        <v>0.14399999999999999</v>
      </c>
      <c r="S84" s="53">
        <f>IF(AND(U51*12&gt;=150000),0.17*U51*N54,0.17*U51)</f>
        <v>330.82000000000005</v>
      </c>
      <c r="T84" s="49">
        <f t="shared" si="76"/>
        <v>47.638080000000002</v>
      </c>
      <c r="U84" s="18">
        <f t="shared" si="77"/>
        <v>-1.3219199999999915</v>
      </c>
      <c r="V84" s="19">
        <f t="shared" si="78"/>
        <v>-2.699999999999983E-2</v>
      </c>
    </row>
    <row r="85" spans="1:22" x14ac:dyDescent="0.3">
      <c r="A85" s="3" t="s">
        <v>43</v>
      </c>
      <c r="B85" s="12"/>
      <c r="C85" s="52">
        <f t="shared" si="79"/>
        <v>0.20799999999999999</v>
      </c>
      <c r="D85" s="53">
        <f>IF(AND(B51*12&gt;=150000),0.18*B51*B53,0.18*B51)</f>
        <v>148.5</v>
      </c>
      <c r="E85" s="49">
        <f t="shared" si="71"/>
        <v>30.887999999999998</v>
      </c>
      <c r="F85" s="54">
        <f t="shared" si="80"/>
        <v>0.20799999999999999</v>
      </c>
      <c r="G85" s="53">
        <f>IF(AND(I51*12&gt;=150000),0.18*I51*B54,0.18*I51)</f>
        <v>144.4905</v>
      </c>
      <c r="H85" s="49">
        <f t="shared" si="72"/>
        <v>30.054023999999998</v>
      </c>
      <c r="I85" s="18">
        <f t="shared" si="73"/>
        <v>-0.83397599999999983</v>
      </c>
      <c r="J85" s="19">
        <f t="shared" si="74"/>
        <v>-2.6999999999999996E-2</v>
      </c>
      <c r="M85" s="3" t="s">
        <v>43</v>
      </c>
      <c r="N85" s="12"/>
      <c r="O85" s="52">
        <f t="shared" si="81"/>
        <v>0.20799999999999999</v>
      </c>
      <c r="P85" s="53">
        <f>IF(AND(N51*12&gt;=150000),0.18*N51*N53,0.18*N51)</f>
        <v>360</v>
      </c>
      <c r="Q85" s="49">
        <f t="shared" si="75"/>
        <v>74.88</v>
      </c>
      <c r="R85" s="54">
        <f t="shared" si="82"/>
        <v>0.20799999999999999</v>
      </c>
      <c r="S85" s="53">
        <f>IF(AND(U51*12&gt;=150000),0.18*U51*N54,0.18*U51)</f>
        <v>350.28</v>
      </c>
      <c r="T85" s="49">
        <f t="shared" si="76"/>
        <v>72.858239999999995</v>
      </c>
      <c r="U85" s="18">
        <f t="shared" si="77"/>
        <v>-2.0217600000000004</v>
      </c>
      <c r="V85" s="19">
        <f t="shared" si="78"/>
        <v>-2.7000000000000007E-2</v>
      </c>
    </row>
    <row r="86" spans="1:22" x14ac:dyDescent="0.3">
      <c r="A86" s="51" t="s">
        <v>44</v>
      </c>
      <c r="B86" s="12"/>
      <c r="C86" s="55">
        <v>0</v>
      </c>
      <c r="D86" s="14">
        <f>IF($B$52&gt;0,$B$52,$B$51)</f>
        <v>825</v>
      </c>
      <c r="E86" s="49">
        <f t="shared" si="71"/>
        <v>0</v>
      </c>
      <c r="F86" s="56">
        <v>0</v>
      </c>
      <c r="G86" s="34">
        <f>+$I$51</f>
        <v>802.72500000000002</v>
      </c>
      <c r="H86" s="49">
        <f t="shared" si="72"/>
        <v>0</v>
      </c>
      <c r="I86" s="18">
        <f t="shared" si="73"/>
        <v>0</v>
      </c>
      <c r="J86" s="19" t="str">
        <f t="shared" si="74"/>
        <v/>
      </c>
      <c r="M86" s="51" t="s">
        <v>44</v>
      </c>
      <c r="N86" s="12"/>
      <c r="O86" s="55">
        <v>0</v>
      </c>
      <c r="P86" s="14">
        <f>IF($N$52&gt;0,$N$52,$N$51)</f>
        <v>2000</v>
      </c>
      <c r="Q86" s="49">
        <f t="shared" si="75"/>
        <v>0</v>
      </c>
      <c r="R86" s="56">
        <v>0</v>
      </c>
      <c r="S86" s="53">
        <f>+$U$51</f>
        <v>1946</v>
      </c>
      <c r="T86" s="49">
        <f t="shared" si="76"/>
        <v>0</v>
      </c>
      <c r="U86" s="18">
        <f t="shared" si="77"/>
        <v>0</v>
      </c>
      <c r="V86" s="19" t="str">
        <f t="shared" si="78"/>
        <v/>
      </c>
    </row>
    <row r="87" spans="1:22" ht="15" thickBot="1" x14ac:dyDescent="0.35">
      <c r="A87" s="51" t="s">
        <v>45</v>
      </c>
      <c r="B87" s="12"/>
      <c r="C87" s="55">
        <v>0</v>
      </c>
      <c r="D87" s="14">
        <f>IF($B$52&gt;0,$B$52,$B$51)</f>
        <v>825</v>
      </c>
      <c r="E87" s="49">
        <f t="shared" si="71"/>
        <v>0</v>
      </c>
      <c r="F87" s="56">
        <v>0</v>
      </c>
      <c r="G87" s="34">
        <f>+$I$51</f>
        <v>802.72500000000002</v>
      </c>
      <c r="H87" s="49">
        <f t="shared" si="72"/>
        <v>0</v>
      </c>
      <c r="I87" s="18">
        <f t="shared" si="73"/>
        <v>0</v>
      </c>
      <c r="J87" s="19" t="str">
        <f t="shared" si="74"/>
        <v/>
      </c>
      <c r="M87" s="51" t="s">
        <v>45</v>
      </c>
      <c r="N87" s="12"/>
      <c r="O87" s="55">
        <v>0</v>
      </c>
      <c r="P87" s="14">
        <f>IF($N$52&gt;0,$N$52,$N$51)</f>
        <v>2000</v>
      </c>
      <c r="Q87" s="49">
        <f t="shared" si="75"/>
        <v>0</v>
      </c>
      <c r="R87" s="56">
        <v>0</v>
      </c>
      <c r="S87" s="53">
        <f>+$U$51</f>
        <v>1946</v>
      </c>
      <c r="T87" s="49">
        <f t="shared" si="76"/>
        <v>0</v>
      </c>
      <c r="U87" s="18">
        <f t="shared" si="77"/>
        <v>0</v>
      </c>
      <c r="V87" s="19" t="str">
        <f t="shared" si="78"/>
        <v/>
      </c>
    </row>
    <row r="88" spans="1:22" ht="15" thickBot="1" x14ac:dyDescent="0.35">
      <c r="A88" s="57"/>
      <c r="B88" s="58"/>
      <c r="C88" s="59"/>
      <c r="D88" s="60"/>
      <c r="E88" s="61"/>
      <c r="F88" s="59"/>
      <c r="G88" s="62"/>
      <c r="H88" s="61"/>
      <c r="I88" s="63"/>
      <c r="J88" s="64"/>
      <c r="M88" s="57"/>
      <c r="N88" s="58"/>
      <c r="O88" s="59"/>
      <c r="P88" s="60"/>
      <c r="Q88" s="61"/>
      <c r="R88" s="59"/>
      <c r="S88" s="62"/>
      <c r="T88" s="61"/>
      <c r="U88" s="63"/>
      <c r="V88" s="64"/>
    </row>
    <row r="89" spans="1:22" x14ac:dyDescent="0.3">
      <c r="A89" s="65" t="s">
        <v>46</v>
      </c>
      <c r="B89" s="50"/>
      <c r="C89" s="66"/>
      <c r="D89" s="67"/>
      <c r="E89" s="68">
        <f>SUM(E78:E85)</f>
        <v>152.70437150000001</v>
      </c>
      <c r="F89" s="69"/>
      <c r="G89" s="69"/>
      <c r="H89" s="68">
        <f>SUM(H78:H85)</f>
        <v>151.54730346950001</v>
      </c>
      <c r="I89" s="70">
        <f>SUM(I78:I85)</f>
        <v>-1.1570680305000003</v>
      </c>
      <c r="J89" s="71">
        <f t="shared" ref="J89:J90" si="83">IF((E89)=0,"",(I89/E89))</f>
        <v>-7.5771768622877982E-3</v>
      </c>
      <c r="M89" s="65" t="s">
        <v>46</v>
      </c>
      <c r="N89" s="50"/>
      <c r="O89" s="66"/>
      <c r="P89" s="67"/>
      <c r="Q89" s="68">
        <f>SUM(Q78:Q85)</f>
        <v>321.92484000000002</v>
      </c>
      <c r="R89" s="69"/>
      <c r="S89" s="69"/>
      <c r="T89" s="68">
        <f>SUM(T78:T85)</f>
        <v>316.19881932000004</v>
      </c>
      <c r="U89" s="70">
        <f>SUM(U78:U85)</f>
        <v>-5.7260206799999986</v>
      </c>
      <c r="V89" s="71">
        <f t="shared" ref="V89:V90" si="84">IF((Q89)=0,"",(U89/Q89))</f>
        <v>-1.7786824651368931E-2</v>
      </c>
    </row>
    <row r="90" spans="1:22" x14ac:dyDescent="0.3">
      <c r="A90" s="72" t="s">
        <v>47</v>
      </c>
      <c r="B90" s="50"/>
      <c r="C90" s="66">
        <v>0.13</v>
      </c>
      <c r="D90" s="73"/>
      <c r="E90" s="74">
        <f>+E89*C90</f>
        <v>19.851568295000003</v>
      </c>
      <c r="F90" s="75">
        <v>0.13</v>
      </c>
      <c r="G90" s="14"/>
      <c r="H90" s="74">
        <f>+H89*F90</f>
        <v>19.701149451035</v>
      </c>
      <c r="I90" s="76">
        <f>+I89*F90</f>
        <v>-0.15041884396500005</v>
      </c>
      <c r="J90" s="77">
        <f t="shared" si="83"/>
        <v>-7.5771768622877973E-3</v>
      </c>
      <c r="M90" s="72" t="s">
        <v>47</v>
      </c>
      <c r="N90" s="50"/>
      <c r="O90" s="66">
        <v>0.13</v>
      </c>
      <c r="P90" s="73"/>
      <c r="Q90" s="74">
        <f>+Q89*O90</f>
        <v>41.850229200000001</v>
      </c>
      <c r="R90" s="75">
        <v>0.13</v>
      </c>
      <c r="S90" s="14"/>
      <c r="T90" s="74">
        <f>+T89*R90</f>
        <v>41.105846511600006</v>
      </c>
      <c r="U90" s="76">
        <f>+U89*R90</f>
        <v>-0.74438268839999988</v>
      </c>
      <c r="V90" s="77">
        <f t="shared" si="84"/>
        <v>-1.7786824651368931E-2</v>
      </c>
    </row>
    <row r="91" spans="1:22" x14ac:dyDescent="0.3">
      <c r="A91" s="72" t="s">
        <v>94</v>
      </c>
      <c r="B91" s="50"/>
      <c r="C91" s="141">
        <f>C43</f>
        <v>0.318</v>
      </c>
      <c r="D91" s="73"/>
      <c r="E91" s="74">
        <f>+E89*-C91</f>
        <v>-48.559990137</v>
      </c>
      <c r="F91" s="141">
        <f>C91</f>
        <v>0.318</v>
      </c>
      <c r="G91" s="14"/>
      <c r="H91" s="74">
        <f>+F91*-H89</f>
        <v>-48.192042503301003</v>
      </c>
      <c r="I91" s="76">
        <f>+F91*-I89</f>
        <v>0.36794763369900008</v>
      </c>
      <c r="J91" s="77"/>
      <c r="M91" s="72" t="s">
        <v>94</v>
      </c>
      <c r="N91" s="50"/>
      <c r="O91" s="141">
        <f>C43</f>
        <v>0.318</v>
      </c>
      <c r="P91" s="73"/>
      <c r="Q91" s="74">
        <f>+Q89*-O91</f>
        <v>-102.37209912</v>
      </c>
      <c r="R91" s="141">
        <f>O91</f>
        <v>0.318</v>
      </c>
      <c r="S91" s="14"/>
      <c r="T91" s="74">
        <f>+R91*-T89</f>
        <v>-100.55122454376001</v>
      </c>
      <c r="U91" s="76">
        <f>+R91*-U89</f>
        <v>1.8208745762399996</v>
      </c>
      <c r="V91" s="77"/>
    </row>
    <row r="92" spans="1:22" ht="15" thickBot="1" x14ac:dyDescent="0.35">
      <c r="A92" s="212" t="s">
        <v>48</v>
      </c>
      <c r="B92" s="212"/>
      <c r="C92" s="78"/>
      <c r="D92" s="79"/>
      <c r="E92" s="80">
        <f>+E89+E90+E91</f>
        <v>123.995949658</v>
      </c>
      <c r="F92" s="81"/>
      <c r="G92" s="81"/>
      <c r="H92" s="82">
        <f>+H89+H90+H91</f>
        <v>123.05641041723402</v>
      </c>
      <c r="I92" s="83">
        <f>+I89+I90+I91</f>
        <v>-0.93953924076600026</v>
      </c>
      <c r="J92" s="84">
        <f>IF((E92)=0,"",(I92/E92))</f>
        <v>-7.5771768622877982E-3</v>
      </c>
      <c r="M92" s="212" t="s">
        <v>48</v>
      </c>
      <c r="N92" s="212"/>
      <c r="O92" s="78"/>
      <c r="P92" s="79"/>
      <c r="Q92" s="80">
        <f>+Q89+Q90+Q91</f>
        <v>261.40297008000005</v>
      </c>
      <c r="R92" s="81"/>
      <c r="S92" s="81"/>
      <c r="T92" s="82">
        <f>+T89+T90+T91</f>
        <v>256.75344128784002</v>
      </c>
      <c r="U92" s="83">
        <f>+U89+U90+U91</f>
        <v>-4.649528792159999</v>
      </c>
      <c r="V92" s="84">
        <f>IF((Q92)=0,"",(U92/Q92))</f>
        <v>-1.7786824651368927E-2</v>
      </c>
    </row>
    <row r="93" spans="1:22" ht="15" thickBot="1" x14ac:dyDescent="0.35">
      <c r="A93" s="57"/>
      <c r="B93" s="58"/>
      <c r="C93" s="59"/>
      <c r="D93" s="60"/>
      <c r="E93" s="61"/>
      <c r="F93" s="59"/>
      <c r="G93" s="62"/>
      <c r="H93" s="61"/>
      <c r="I93" s="63"/>
      <c r="J93" s="64"/>
      <c r="M93" s="57"/>
      <c r="N93" s="58"/>
      <c r="O93" s="59"/>
      <c r="P93" s="60"/>
      <c r="Q93" s="61"/>
      <c r="R93" s="59"/>
      <c r="S93" s="62"/>
      <c r="T93" s="61"/>
      <c r="U93" s="63"/>
      <c r="V93" s="64"/>
    </row>
    <row r="94" spans="1:22" x14ac:dyDescent="0.3">
      <c r="E94" s="105">
        <f>E92</f>
        <v>123.995949658</v>
      </c>
      <c r="F94" s="105"/>
      <c r="G94" s="105"/>
      <c r="H94" s="105">
        <f t="shared" ref="H94:J94" si="85">H92</f>
        <v>123.05641041723402</v>
      </c>
      <c r="I94" s="105">
        <f t="shared" si="85"/>
        <v>-0.93953924076600026</v>
      </c>
      <c r="J94" s="103">
        <f t="shared" si="85"/>
        <v>-7.5771768622877982E-3</v>
      </c>
      <c r="Q94" s="105">
        <f>Q92</f>
        <v>261.40297008000005</v>
      </c>
      <c r="R94" s="105"/>
      <c r="S94" s="105"/>
      <c r="T94" s="105">
        <f t="shared" ref="T94:V94" si="86">T92</f>
        <v>256.75344128784002</v>
      </c>
      <c r="U94" s="105">
        <f t="shared" si="86"/>
        <v>-4.649528792159999</v>
      </c>
      <c r="V94" s="103">
        <f t="shared" si="86"/>
        <v>-1.7786824651368927E-2</v>
      </c>
    </row>
  </sheetData>
  <mergeCells count="36">
    <mergeCell ref="A92:B92"/>
    <mergeCell ref="M92:N92"/>
    <mergeCell ref="R56:T56"/>
    <mergeCell ref="U56:V56"/>
    <mergeCell ref="B57:B58"/>
    <mergeCell ref="I57:I58"/>
    <mergeCell ref="J57:J58"/>
    <mergeCell ref="N57:N58"/>
    <mergeCell ref="U57:U58"/>
    <mergeCell ref="V57:V58"/>
    <mergeCell ref="B50:D50"/>
    <mergeCell ref="N50:P50"/>
    <mergeCell ref="C56:E56"/>
    <mergeCell ref="F56:H56"/>
    <mergeCell ref="I56:J56"/>
    <mergeCell ref="O56:Q56"/>
    <mergeCell ref="N9:N10"/>
    <mergeCell ref="U9:U10"/>
    <mergeCell ref="V9:V10"/>
    <mergeCell ref="M44:N44"/>
    <mergeCell ref="B49:G49"/>
    <mergeCell ref="N49:S49"/>
    <mergeCell ref="B9:B10"/>
    <mergeCell ref="I9:I10"/>
    <mergeCell ref="J9:J10"/>
    <mergeCell ref="A44:B44"/>
    <mergeCell ref="N1:S1"/>
    <mergeCell ref="N2:P2"/>
    <mergeCell ref="O8:Q8"/>
    <mergeCell ref="R8:T8"/>
    <mergeCell ref="U8:V8"/>
    <mergeCell ref="B1:G1"/>
    <mergeCell ref="B2:D2"/>
    <mergeCell ref="C8:E8"/>
    <mergeCell ref="F8:H8"/>
    <mergeCell ref="I8:J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0"/>
  <sheetViews>
    <sheetView topLeftCell="A83" zoomScale="85" zoomScaleNormal="85" workbookViewId="0">
      <selection activeCell="F98" sqref="F98"/>
    </sheetView>
  </sheetViews>
  <sheetFormatPr defaultRowHeight="14.4" x14ac:dyDescent="0.3"/>
  <cols>
    <col min="1" max="1" width="39.6640625" customWidth="1"/>
    <col min="2" max="2" width="6.88671875" bestFit="1" customWidth="1"/>
    <col min="3" max="3" width="9.6640625" customWidth="1"/>
    <col min="4" max="4" width="9" customWidth="1"/>
    <col min="5" max="5" width="18.6640625" customWidth="1"/>
    <col min="6" max="6" width="14.33203125" customWidth="1"/>
    <col min="7" max="7" width="13.88671875" customWidth="1"/>
    <col min="8" max="8" width="12.109375" customWidth="1"/>
    <col min="9" max="9" width="12.6640625" customWidth="1"/>
    <col min="10" max="10" width="13.109375" customWidth="1"/>
  </cols>
  <sheetData>
    <row r="1" spans="1:10" x14ac:dyDescent="0.3">
      <c r="A1" s="1" t="s">
        <v>0</v>
      </c>
      <c r="B1" s="200" t="s">
        <v>51</v>
      </c>
      <c r="C1" s="200"/>
      <c r="D1" s="200"/>
      <c r="E1" s="200"/>
      <c r="F1" s="200"/>
      <c r="G1" s="200"/>
      <c r="H1" s="2" t="s">
        <v>2</v>
      </c>
      <c r="I1" s="2"/>
      <c r="J1" s="2"/>
    </row>
    <row r="2" spans="1:10" x14ac:dyDescent="0.3">
      <c r="A2" s="85" t="s">
        <v>3</v>
      </c>
      <c r="B2" s="201" t="s">
        <v>4</v>
      </c>
      <c r="C2" s="201"/>
      <c r="D2" s="201"/>
      <c r="E2" s="86"/>
      <c r="F2" s="86"/>
      <c r="G2" s="87"/>
      <c r="H2" s="87"/>
      <c r="I2" s="87"/>
      <c r="J2" s="87"/>
    </row>
    <row r="3" spans="1:10" ht="15.6" x14ac:dyDescent="0.3">
      <c r="A3" s="85" t="s">
        <v>5</v>
      </c>
      <c r="B3" s="88">
        <v>2000</v>
      </c>
      <c r="C3" s="89" t="s">
        <v>6</v>
      </c>
      <c r="D3" s="90"/>
      <c r="E3" s="98" t="s">
        <v>49</v>
      </c>
      <c r="F3" s="96">
        <f>Residential!F3</f>
        <v>2.7E-2</v>
      </c>
      <c r="G3" s="91"/>
      <c r="H3" s="97" t="s">
        <v>50</v>
      </c>
      <c r="I3" s="99">
        <f>B3*(1-F3)</f>
        <v>1946</v>
      </c>
      <c r="J3" s="91"/>
    </row>
    <row r="4" spans="1:10" ht="15.6" x14ac:dyDescent="0.3">
      <c r="A4" s="85" t="s">
        <v>7</v>
      </c>
      <c r="B4" s="88">
        <v>0</v>
      </c>
      <c r="C4" s="92" t="s">
        <v>8</v>
      </c>
      <c r="D4" s="93"/>
      <c r="E4" s="94"/>
      <c r="F4" s="94"/>
      <c r="G4" s="94"/>
      <c r="H4" s="87"/>
      <c r="I4" s="87"/>
      <c r="J4" s="87"/>
    </row>
    <row r="5" spans="1:10" x14ac:dyDescent="0.3">
      <c r="A5" s="85" t="s">
        <v>9</v>
      </c>
      <c r="B5" s="95">
        <v>1.0481</v>
      </c>
      <c r="C5" s="87"/>
      <c r="D5" s="87"/>
      <c r="E5" s="87" t="s">
        <v>98</v>
      </c>
      <c r="F5" s="96">
        <f>Residential!F5</f>
        <v>1.9E-2</v>
      </c>
      <c r="G5" s="87"/>
      <c r="H5" s="87"/>
      <c r="I5" s="87"/>
      <c r="J5" s="87"/>
    </row>
    <row r="6" spans="1:10" x14ac:dyDescent="0.3">
      <c r="A6" s="1" t="s">
        <v>10</v>
      </c>
      <c r="B6" s="4">
        <v>1.0481</v>
      </c>
      <c r="C6" s="2"/>
      <c r="D6" s="2"/>
      <c r="E6" s="2"/>
      <c r="F6" s="2"/>
      <c r="G6" s="2"/>
      <c r="H6" s="2"/>
      <c r="I6" s="2"/>
      <c r="J6" s="2"/>
    </row>
    <row r="7" spans="1:10" x14ac:dyDescent="0.3">
      <c r="A7" s="3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3"/>
      <c r="B8" s="5"/>
      <c r="C8" s="202" t="s">
        <v>103</v>
      </c>
      <c r="D8" s="203"/>
      <c r="E8" s="204"/>
      <c r="F8" s="205" t="s">
        <v>54</v>
      </c>
      <c r="G8" s="203"/>
      <c r="H8" s="204"/>
      <c r="I8" s="202" t="s">
        <v>11</v>
      </c>
      <c r="J8" s="204"/>
    </row>
    <row r="9" spans="1:10" x14ac:dyDescent="0.3">
      <c r="A9" s="3"/>
      <c r="B9" s="206"/>
      <c r="C9" s="6" t="s">
        <v>12</v>
      </c>
      <c r="D9" s="6" t="s">
        <v>13</v>
      </c>
      <c r="E9" s="7" t="s">
        <v>14</v>
      </c>
      <c r="F9" s="6" t="s">
        <v>12</v>
      </c>
      <c r="G9" s="8" t="s">
        <v>13</v>
      </c>
      <c r="H9" s="7" t="s">
        <v>14</v>
      </c>
      <c r="I9" s="208" t="s">
        <v>15</v>
      </c>
      <c r="J9" s="210" t="s">
        <v>16</v>
      </c>
    </row>
    <row r="10" spans="1:10" x14ac:dyDescent="0.3">
      <c r="A10" s="3"/>
      <c r="B10" s="207"/>
      <c r="C10" s="9" t="s">
        <v>17</v>
      </c>
      <c r="D10" s="9"/>
      <c r="E10" s="10" t="s">
        <v>17</v>
      </c>
      <c r="F10" s="9" t="s">
        <v>17</v>
      </c>
      <c r="G10" s="10"/>
      <c r="H10" s="10" t="s">
        <v>17</v>
      </c>
      <c r="I10" s="209"/>
      <c r="J10" s="211"/>
    </row>
    <row r="11" spans="1:10" x14ac:dyDescent="0.3">
      <c r="A11" s="11" t="s">
        <v>18</v>
      </c>
      <c r="B11" s="12"/>
      <c r="C11" s="13">
        <f>Rates!E18</f>
        <v>21.63</v>
      </c>
      <c r="D11" s="14">
        <v>1</v>
      </c>
      <c r="E11" s="15">
        <f>C11*D11</f>
        <v>21.63</v>
      </c>
      <c r="F11" s="16">
        <f>C11*(1+F5)</f>
        <v>22.040969999999998</v>
      </c>
      <c r="G11" s="17">
        <v>1</v>
      </c>
      <c r="H11" s="15">
        <f>F11*G11</f>
        <v>22.040969999999998</v>
      </c>
      <c r="I11" s="18">
        <f>+H11-E11</f>
        <v>0.41096999999999895</v>
      </c>
      <c r="J11" s="19">
        <f>IF(ISERROR(I11/E11),"",I11/E11)</f>
        <v>1.8999999999999951E-2</v>
      </c>
    </row>
    <row r="12" spans="1:10" x14ac:dyDescent="0.3">
      <c r="A12" s="11" t="s">
        <v>19</v>
      </c>
      <c r="B12" s="12"/>
      <c r="C12" s="20">
        <f>Rates!F18</f>
        <v>2.5899999999999999E-2</v>
      </c>
      <c r="D12" s="14">
        <f>IF($B$4&gt;0,$B$4,$B$3)</f>
        <v>2000</v>
      </c>
      <c r="E12" s="15">
        <f t="shared" ref="E12:E15" si="0">C12*D12</f>
        <v>51.8</v>
      </c>
      <c r="F12" s="21">
        <f>C12*(1+F5)</f>
        <v>2.6392099999999998E-2</v>
      </c>
      <c r="G12" s="100">
        <f>+$I$3</f>
        <v>1946</v>
      </c>
      <c r="H12" s="15">
        <f t="shared" ref="H12:H15" si="1">F12*G12</f>
        <v>51.3590266</v>
      </c>
      <c r="I12" s="18">
        <f t="shared" ref="I12:I40" si="2">+H12-E12</f>
        <v>-0.44097339999999718</v>
      </c>
      <c r="J12" s="19">
        <f t="shared" ref="J12:J40" si="3">IF(ISERROR(I12/E12),"",I12/E12)</f>
        <v>-8.512999999999946E-3</v>
      </c>
    </row>
    <row r="13" spans="1:10" hidden="1" x14ac:dyDescent="0.3">
      <c r="A13" s="11" t="s">
        <v>20</v>
      </c>
      <c r="B13" s="12"/>
      <c r="C13" s="20">
        <v>0</v>
      </c>
      <c r="D13" s="14">
        <f>IF($B$4&gt;0,$B$4,$B$3)</f>
        <v>2000</v>
      </c>
      <c r="E13" s="15">
        <f t="shared" si="0"/>
        <v>0</v>
      </c>
      <c r="F13" s="21"/>
      <c r="G13" s="17">
        <f t="shared" ref="G13:G14" si="4">+$I$3</f>
        <v>1946</v>
      </c>
      <c r="H13" s="15">
        <f t="shared" si="1"/>
        <v>0</v>
      </c>
      <c r="I13" s="18">
        <f t="shared" si="2"/>
        <v>0</v>
      </c>
      <c r="J13" s="19" t="str">
        <f t="shared" si="3"/>
        <v/>
      </c>
    </row>
    <row r="14" spans="1:10" hidden="1" x14ac:dyDescent="0.3">
      <c r="A14" s="11" t="s">
        <v>21</v>
      </c>
      <c r="B14" s="12"/>
      <c r="C14" s="20">
        <v>0</v>
      </c>
      <c r="D14" s="14">
        <f>IF($B$4&gt;0,$B$4,$B$3)</f>
        <v>2000</v>
      </c>
      <c r="E14" s="15">
        <f t="shared" si="0"/>
        <v>0</v>
      </c>
      <c r="F14" s="21"/>
      <c r="G14" s="14">
        <f t="shared" si="4"/>
        <v>1946</v>
      </c>
      <c r="H14" s="15">
        <f t="shared" si="1"/>
        <v>0</v>
      </c>
      <c r="I14" s="18">
        <f t="shared" si="2"/>
        <v>0</v>
      </c>
      <c r="J14" s="19" t="str">
        <f t="shared" si="3"/>
        <v/>
      </c>
    </row>
    <row r="15" spans="1:10" x14ac:dyDescent="0.3">
      <c r="A15" s="22" t="s">
        <v>22</v>
      </c>
      <c r="B15" s="12"/>
      <c r="C15" s="13">
        <v>0.26</v>
      </c>
      <c r="D15" s="14">
        <v>1</v>
      </c>
      <c r="E15" s="15">
        <f t="shared" si="0"/>
        <v>0.26</v>
      </c>
      <c r="F15" s="16">
        <f>C15</f>
        <v>0.26</v>
      </c>
      <c r="G15" s="17">
        <v>1</v>
      </c>
      <c r="H15" s="15">
        <f t="shared" si="1"/>
        <v>0.26</v>
      </c>
      <c r="I15" s="18">
        <f t="shared" si="2"/>
        <v>0</v>
      </c>
      <c r="J15" s="19">
        <f t="shared" si="3"/>
        <v>0</v>
      </c>
    </row>
    <row r="16" spans="1:10" x14ac:dyDescent="0.3">
      <c r="A16" s="117" t="s">
        <v>78</v>
      </c>
      <c r="B16" s="12"/>
      <c r="C16" s="13">
        <v>0</v>
      </c>
      <c r="D16" s="14">
        <v>1</v>
      </c>
      <c r="E16" s="15">
        <f t="shared" ref="E16:E17" si="5">C16*D16</f>
        <v>0</v>
      </c>
      <c r="F16" s="16">
        <f>Rates!N6</f>
        <v>0.95</v>
      </c>
      <c r="G16" s="17">
        <v>1</v>
      </c>
      <c r="H16" s="15">
        <f t="shared" ref="H16:H17" si="6">F16*G16</f>
        <v>0.95</v>
      </c>
      <c r="I16" s="18">
        <f t="shared" ref="I16:I17" si="7">+H16-E16</f>
        <v>0.95</v>
      </c>
      <c r="J16" s="19" t="str">
        <f t="shared" ref="J16:J17" si="8">IF(ISERROR(I16/E16),"",I16/E16)</f>
        <v/>
      </c>
    </row>
    <row r="17" spans="1:10" x14ac:dyDescent="0.3">
      <c r="A17" s="11" t="s">
        <v>79</v>
      </c>
      <c r="B17" s="12"/>
      <c r="C17" s="20">
        <v>0</v>
      </c>
      <c r="D17" s="14">
        <f>IF($B$4&gt;0,$B$4,$B$3)</f>
        <v>2000</v>
      </c>
      <c r="E17" s="15">
        <f t="shared" si="5"/>
        <v>0</v>
      </c>
      <c r="F17" s="21">
        <f>Rates!O6</f>
        <v>1.1000000000000001E-3</v>
      </c>
      <c r="G17" s="17">
        <f>+$I$3</f>
        <v>1946</v>
      </c>
      <c r="H17" s="15">
        <f t="shared" si="6"/>
        <v>2.1406000000000001</v>
      </c>
      <c r="I17" s="18">
        <f t="shared" si="7"/>
        <v>2.1406000000000001</v>
      </c>
      <c r="J17" s="19" t="str">
        <f t="shared" si="8"/>
        <v/>
      </c>
    </row>
    <row r="18" spans="1:10" x14ac:dyDescent="0.3">
      <c r="A18" s="22" t="s">
        <v>23</v>
      </c>
      <c r="B18" s="143"/>
      <c r="C18" s="52">
        <v>2.9999999999999997E-4</v>
      </c>
      <c r="D18" s="14">
        <f>IF($B$4&gt;0,$B$4,$B$3)</f>
        <v>2000</v>
      </c>
      <c r="E18" s="144">
        <f>C18*D18</f>
        <v>0.6</v>
      </c>
      <c r="F18" s="54">
        <f>C18</f>
        <v>2.9999999999999997E-4</v>
      </c>
      <c r="G18" s="17">
        <f>+$I$3</f>
        <v>1946</v>
      </c>
      <c r="H18" s="144">
        <f>G18*F18</f>
        <v>0.58379999999999999</v>
      </c>
      <c r="I18" s="76">
        <f t="shared" si="2"/>
        <v>-1.6199999999999992E-2</v>
      </c>
      <c r="J18" s="145">
        <f t="shared" si="3"/>
        <v>-2.6999999999999989E-2</v>
      </c>
    </row>
    <row r="19" spans="1:10" x14ac:dyDescent="0.3">
      <c r="A19" s="23" t="s">
        <v>24</v>
      </c>
      <c r="B19" s="24"/>
      <c r="C19" s="25"/>
      <c r="D19" s="26"/>
      <c r="E19" s="27">
        <f>SUM(E11:E18)</f>
        <v>74.289999999999992</v>
      </c>
      <c r="F19" s="28"/>
      <c r="G19" s="29"/>
      <c r="H19" s="27">
        <f>SUM(H11:H18)</f>
        <v>77.334396600000005</v>
      </c>
      <c r="I19" s="30">
        <f>SUM(I11:I18)</f>
        <v>3.044396600000002</v>
      </c>
      <c r="J19" s="31">
        <f>IF((E19)=0,"",(I19/E19))</f>
        <v>4.0979897698209748E-2</v>
      </c>
    </row>
    <row r="20" spans="1:10" x14ac:dyDescent="0.3">
      <c r="A20" s="32" t="s">
        <v>25</v>
      </c>
      <c r="B20" s="12"/>
      <c r="C20" s="140">
        <f>C36*0.64+C37*0.18+C38*0.18</f>
        <v>0.128</v>
      </c>
      <c r="D20" s="33">
        <f>IF(C20=0,0,$B$3*B5-B3)</f>
        <v>96.200000000000273</v>
      </c>
      <c r="E20" s="15">
        <f>C20*D20</f>
        <v>12.313600000000035</v>
      </c>
      <c r="F20" s="140">
        <f>F36*0.64+F37*0.18+F38*0.18</f>
        <v>0.128</v>
      </c>
      <c r="G20" s="33">
        <f>IF(F20=0,0,$I$3*B6-I3)</f>
        <v>93.602600000000166</v>
      </c>
      <c r="H20" s="15">
        <f t="shared" ref="H20:H27" si="9">F20*G20</f>
        <v>11.981132800000022</v>
      </c>
      <c r="I20" s="18">
        <f t="shared" si="2"/>
        <v>-0.3324672000000124</v>
      </c>
      <c r="J20" s="19">
        <f t="shared" si="3"/>
        <v>-2.700000000000093E-2</v>
      </c>
    </row>
    <row r="21" spans="1:10" x14ac:dyDescent="0.3">
      <c r="A21" s="32" t="s">
        <v>26</v>
      </c>
      <c r="B21" s="143"/>
      <c r="C21" s="52">
        <v>0</v>
      </c>
      <c r="D21" s="34">
        <f t="shared" ref="D21:D24" si="10">IF($B$4&gt;0,$B$4,$B$3)</f>
        <v>2000</v>
      </c>
      <c r="E21" s="144">
        <v>0</v>
      </c>
      <c r="F21" s="54">
        <f>C21</f>
        <v>0</v>
      </c>
      <c r="G21" s="34">
        <f t="shared" ref="G21:G24" si="11">+$I$3</f>
        <v>1946</v>
      </c>
      <c r="H21" s="144">
        <v>0</v>
      </c>
      <c r="I21" s="76">
        <f t="shared" si="2"/>
        <v>0</v>
      </c>
      <c r="J21" s="145" t="str">
        <f t="shared" si="3"/>
        <v/>
      </c>
    </row>
    <row r="22" spans="1:10" hidden="1" x14ac:dyDescent="0.3">
      <c r="A22" s="32" t="s">
        <v>27</v>
      </c>
      <c r="B22" s="12"/>
      <c r="C22" s="20">
        <v>0</v>
      </c>
      <c r="D22" s="34">
        <f t="shared" si="10"/>
        <v>2000</v>
      </c>
      <c r="E22" s="15">
        <f t="shared" ref="E22:E27" si="12">C22*D22</f>
        <v>0</v>
      </c>
      <c r="F22" s="21">
        <v>0</v>
      </c>
      <c r="G22" s="34">
        <f t="shared" si="11"/>
        <v>1946</v>
      </c>
      <c r="H22" s="15">
        <f t="shared" si="9"/>
        <v>0</v>
      </c>
      <c r="I22" s="18">
        <f t="shared" si="2"/>
        <v>0</v>
      </c>
      <c r="J22" s="19" t="str">
        <f t="shared" si="3"/>
        <v/>
      </c>
    </row>
    <row r="23" spans="1:10" hidden="1" x14ac:dyDescent="0.3">
      <c r="A23" s="32" t="s">
        <v>28</v>
      </c>
      <c r="B23" s="12"/>
      <c r="C23" s="20">
        <v>0</v>
      </c>
      <c r="D23" s="34">
        <f t="shared" si="10"/>
        <v>2000</v>
      </c>
      <c r="E23" s="15">
        <f t="shared" si="12"/>
        <v>0</v>
      </c>
      <c r="F23" s="21">
        <v>0</v>
      </c>
      <c r="G23" s="34">
        <f t="shared" si="11"/>
        <v>1946</v>
      </c>
      <c r="H23" s="15">
        <f t="shared" si="9"/>
        <v>0</v>
      </c>
      <c r="I23" s="18">
        <f t="shared" si="2"/>
        <v>0</v>
      </c>
      <c r="J23" s="19" t="str">
        <f t="shared" si="3"/>
        <v/>
      </c>
    </row>
    <row r="24" spans="1:10" hidden="1" x14ac:dyDescent="0.3">
      <c r="A24" s="35" t="s">
        <v>29</v>
      </c>
      <c r="B24" s="12"/>
      <c r="C24" s="20">
        <v>0</v>
      </c>
      <c r="D24" s="34">
        <f t="shared" si="10"/>
        <v>2000</v>
      </c>
      <c r="E24" s="15">
        <f t="shared" si="12"/>
        <v>0</v>
      </c>
      <c r="F24" s="21"/>
      <c r="G24" s="34">
        <f t="shared" si="11"/>
        <v>1946</v>
      </c>
      <c r="H24" s="15">
        <f t="shared" si="9"/>
        <v>0</v>
      </c>
      <c r="I24" s="18">
        <f t="shared" si="2"/>
        <v>0</v>
      </c>
      <c r="J24" s="19" t="str">
        <f t="shared" si="3"/>
        <v/>
      </c>
    </row>
    <row r="25" spans="1:10" x14ac:dyDescent="0.3">
      <c r="A25" s="36" t="s">
        <v>30</v>
      </c>
      <c r="B25" s="12"/>
      <c r="C25" s="37">
        <v>0.56999999999999995</v>
      </c>
      <c r="D25" s="14">
        <v>1</v>
      </c>
      <c r="E25" s="15">
        <f t="shared" si="12"/>
        <v>0.56999999999999995</v>
      </c>
      <c r="F25" s="38">
        <f>C25</f>
        <v>0.56999999999999995</v>
      </c>
      <c r="G25" s="14">
        <v>1</v>
      </c>
      <c r="H25" s="15">
        <f t="shared" si="9"/>
        <v>0.56999999999999995</v>
      </c>
      <c r="I25" s="18">
        <f t="shared" si="2"/>
        <v>0</v>
      </c>
      <c r="J25" s="19">
        <f t="shared" si="3"/>
        <v>0</v>
      </c>
    </row>
    <row r="26" spans="1:10" x14ac:dyDescent="0.3">
      <c r="A26" s="35" t="s">
        <v>31</v>
      </c>
      <c r="B26" s="12"/>
      <c r="C26" s="13">
        <v>0</v>
      </c>
      <c r="D26" s="14">
        <v>1</v>
      </c>
      <c r="E26" s="15">
        <f t="shared" si="12"/>
        <v>0</v>
      </c>
      <c r="F26" s="16">
        <v>0</v>
      </c>
      <c r="G26" s="14">
        <v>1</v>
      </c>
      <c r="H26" s="15">
        <f t="shared" si="9"/>
        <v>0</v>
      </c>
      <c r="I26" s="18">
        <f t="shared" si="2"/>
        <v>0</v>
      </c>
      <c r="J26" s="19" t="str">
        <f t="shared" si="3"/>
        <v/>
      </c>
    </row>
    <row r="27" spans="1:10" x14ac:dyDescent="0.3">
      <c r="A27" s="35" t="s">
        <v>32</v>
      </c>
      <c r="B27" s="12"/>
      <c r="C27" s="20">
        <v>-4.0000000000000002E-4</v>
      </c>
      <c r="D27" s="34">
        <f>IF($B$4&gt;0,$B$4,$B$3)</f>
        <v>2000</v>
      </c>
      <c r="E27" s="15">
        <f t="shared" si="12"/>
        <v>-0.8</v>
      </c>
      <c r="F27" s="21">
        <f>C27</f>
        <v>-4.0000000000000002E-4</v>
      </c>
      <c r="G27" s="34">
        <f>+$I$3</f>
        <v>1946</v>
      </c>
      <c r="H27" s="15">
        <f t="shared" si="9"/>
        <v>-0.77840000000000009</v>
      </c>
      <c r="I27" s="18">
        <f t="shared" si="2"/>
        <v>2.1599999999999953E-2</v>
      </c>
      <c r="J27" s="19">
        <f t="shared" si="3"/>
        <v>-2.6999999999999941E-2</v>
      </c>
    </row>
    <row r="28" spans="1:10" ht="26.4" x14ac:dyDescent="0.3">
      <c r="A28" s="39" t="s">
        <v>33</v>
      </c>
      <c r="B28" s="40"/>
      <c r="C28" s="41"/>
      <c r="D28" s="42"/>
      <c r="E28" s="43">
        <f>SUM(E19:E27)</f>
        <v>86.373600000000025</v>
      </c>
      <c r="F28" s="44"/>
      <c r="G28" s="45"/>
      <c r="H28" s="43">
        <f>SUM(H19:H27)</f>
        <v>89.107129400000019</v>
      </c>
      <c r="I28" s="30">
        <f>SUM(I19:I27)</f>
        <v>2.7335293999999895</v>
      </c>
      <c r="J28" s="31">
        <f>IF((E28)=0,"",(I28/E28))</f>
        <v>3.1647741902618265E-2</v>
      </c>
    </row>
    <row r="29" spans="1:10" x14ac:dyDescent="0.3">
      <c r="A29" s="46" t="s">
        <v>34</v>
      </c>
      <c r="B29" s="12"/>
      <c r="C29" s="20">
        <v>5.8999999999999999E-3</v>
      </c>
      <c r="D29" s="33">
        <f>IF($B$4&gt;0,$B$4,$B$3*$B$5)</f>
        <v>2096.2000000000003</v>
      </c>
      <c r="E29" s="15">
        <f t="shared" ref="E29:E30" si="13">C29*D29</f>
        <v>12.367580000000002</v>
      </c>
      <c r="F29" s="21">
        <f>C29</f>
        <v>5.8999999999999999E-3</v>
      </c>
      <c r="G29" s="33">
        <f>+$I$3*$B$6</f>
        <v>2039.6026000000002</v>
      </c>
      <c r="H29" s="15">
        <f t="shared" ref="H29:H30" si="14">F29*G29</f>
        <v>12.033655340000001</v>
      </c>
      <c r="I29" s="18">
        <f t="shared" si="2"/>
        <v>-0.33392466000000098</v>
      </c>
      <c r="J29" s="19">
        <f t="shared" si="3"/>
        <v>-2.7000000000000076E-2</v>
      </c>
    </row>
    <row r="30" spans="1:10" ht="26.4" x14ac:dyDescent="0.3">
      <c r="A30" s="47" t="s">
        <v>35</v>
      </c>
      <c r="B30" s="12"/>
      <c r="C30" s="20">
        <v>0</v>
      </c>
      <c r="D30" s="33">
        <f>IF($B$4&gt;0,$B$4,$B$3*$B$5)</f>
        <v>2096.2000000000003</v>
      </c>
      <c r="E30" s="15">
        <f t="shared" si="13"/>
        <v>0</v>
      </c>
      <c r="F30" s="21">
        <v>0</v>
      </c>
      <c r="G30" s="33">
        <f>+$I$3*$B$6</f>
        <v>2039.6026000000002</v>
      </c>
      <c r="H30" s="15">
        <f t="shared" si="14"/>
        <v>0</v>
      </c>
      <c r="I30" s="18">
        <f t="shared" si="2"/>
        <v>0</v>
      </c>
      <c r="J30" s="19" t="str">
        <f t="shared" si="3"/>
        <v/>
      </c>
    </row>
    <row r="31" spans="1:10" ht="26.4" x14ac:dyDescent="0.3">
      <c r="A31" s="39" t="s">
        <v>36</v>
      </c>
      <c r="B31" s="24"/>
      <c r="C31" s="41"/>
      <c r="D31" s="42"/>
      <c r="E31" s="43">
        <f>SUM(E28:E30)</f>
        <v>98.741180000000028</v>
      </c>
      <c r="F31" s="44"/>
      <c r="G31" s="29"/>
      <c r="H31" s="43">
        <f>SUM(H28:H30)</f>
        <v>101.14078474000002</v>
      </c>
      <c r="I31" s="30">
        <f>SUM(I28:I30)</f>
        <v>2.3996047399999885</v>
      </c>
      <c r="J31" s="31">
        <f>IF((E31)=0,"",(I31/E31))</f>
        <v>2.4301965400858969E-2</v>
      </c>
    </row>
    <row r="32" spans="1:10" x14ac:dyDescent="0.3">
      <c r="A32" s="48" t="s">
        <v>37</v>
      </c>
      <c r="B32" s="12"/>
      <c r="C32" s="20">
        <v>3.3999999999999998E-3</v>
      </c>
      <c r="D32" s="33">
        <f>IF($B$4&gt;0,$B$4,$B$3*$B$5)</f>
        <v>2096.2000000000003</v>
      </c>
      <c r="E32" s="49">
        <f t="shared" ref="E32:E40" si="15">C32*D32</f>
        <v>7.1270800000000003</v>
      </c>
      <c r="F32" s="21">
        <v>3.3999999999999998E-3</v>
      </c>
      <c r="G32" s="33">
        <f>+$I$3*$B$6</f>
        <v>2039.6026000000002</v>
      </c>
      <c r="H32" s="49">
        <f t="shared" ref="H32:H40" si="16">F32*G32</f>
        <v>6.9346488400000004</v>
      </c>
      <c r="I32" s="18">
        <f t="shared" si="2"/>
        <v>-0.19243115999999993</v>
      </c>
      <c r="J32" s="19">
        <f t="shared" si="3"/>
        <v>-2.6999999999999989E-2</v>
      </c>
    </row>
    <row r="33" spans="1:10" x14ac:dyDescent="0.3">
      <c r="A33" s="48" t="s">
        <v>38</v>
      </c>
      <c r="B33" s="12"/>
      <c r="C33" s="20">
        <v>5.0000000000000001E-4</v>
      </c>
      <c r="D33" s="33">
        <f>IF($B$4&gt;0,$B$4,$B$3*$B$5)</f>
        <v>2096.2000000000003</v>
      </c>
      <c r="E33" s="49">
        <f t="shared" si="15"/>
        <v>1.0481000000000003</v>
      </c>
      <c r="F33" s="21">
        <v>5.0000000000000001E-4</v>
      </c>
      <c r="G33" s="33">
        <f>+$I$3*$B$6</f>
        <v>2039.6026000000002</v>
      </c>
      <c r="H33" s="49">
        <f t="shared" si="16"/>
        <v>1.0198013000000001</v>
      </c>
      <c r="I33" s="18">
        <f t="shared" si="2"/>
        <v>-2.8298700000000121E-2</v>
      </c>
      <c r="J33" s="19">
        <f t="shared" si="3"/>
        <v>-2.7000000000000107E-2</v>
      </c>
    </row>
    <row r="34" spans="1:10" x14ac:dyDescent="0.3">
      <c r="A34" s="50" t="s">
        <v>39</v>
      </c>
      <c r="B34" s="12"/>
      <c r="C34" s="37">
        <v>0.25</v>
      </c>
      <c r="D34" s="14">
        <v>1</v>
      </c>
      <c r="E34" s="49">
        <f t="shared" si="15"/>
        <v>0.25</v>
      </c>
      <c r="F34" s="38">
        <v>0.25</v>
      </c>
      <c r="G34" s="17">
        <v>1</v>
      </c>
      <c r="H34" s="49">
        <f t="shared" si="16"/>
        <v>0.25</v>
      </c>
      <c r="I34" s="18">
        <f t="shared" si="2"/>
        <v>0</v>
      </c>
      <c r="J34" s="19">
        <f t="shared" si="3"/>
        <v>0</v>
      </c>
    </row>
    <row r="35" spans="1:10" ht="26.4" x14ac:dyDescent="0.3">
      <c r="A35" s="48" t="s">
        <v>40</v>
      </c>
      <c r="B35" s="12"/>
      <c r="C35" s="20"/>
      <c r="D35" s="33"/>
      <c r="E35" s="49">
        <f t="shared" si="15"/>
        <v>0</v>
      </c>
      <c r="F35" s="21"/>
      <c r="G35" s="33"/>
      <c r="H35" s="49">
        <f t="shared" si="16"/>
        <v>0</v>
      </c>
      <c r="I35" s="18">
        <f t="shared" si="2"/>
        <v>0</v>
      </c>
      <c r="J35" s="19" t="str">
        <f t="shared" si="3"/>
        <v/>
      </c>
    </row>
    <row r="36" spans="1:10" x14ac:dyDescent="0.3">
      <c r="A36" s="51" t="s">
        <v>41</v>
      </c>
      <c r="B36" s="12"/>
      <c r="C36" s="52">
        <f>Residential!C35</f>
        <v>0.10100000000000001</v>
      </c>
      <c r="D36" s="53">
        <f>IF(AND(B3*12&gt;=150000),0.65*B3*B5,0.65*B3)</f>
        <v>1300</v>
      </c>
      <c r="E36" s="49">
        <f t="shared" si="15"/>
        <v>131.30000000000001</v>
      </c>
      <c r="F36" s="54">
        <f>C36</f>
        <v>0.10100000000000001</v>
      </c>
      <c r="G36" s="53">
        <f>IF(AND(I3*12&gt;=150000),0.65*I3*B6,0.65*I3)</f>
        <v>1264.9000000000001</v>
      </c>
      <c r="H36" s="49">
        <f t="shared" si="16"/>
        <v>127.75490000000002</v>
      </c>
      <c r="I36" s="18">
        <f t="shared" si="2"/>
        <v>-3.5450999999999908</v>
      </c>
      <c r="J36" s="19">
        <f t="shared" si="3"/>
        <v>-2.6999999999999927E-2</v>
      </c>
    </row>
    <row r="37" spans="1:10" x14ac:dyDescent="0.3">
      <c r="A37" s="51" t="s">
        <v>42</v>
      </c>
      <c r="B37" s="12"/>
      <c r="C37" s="52">
        <f>Residential!C36</f>
        <v>0.14399999999999999</v>
      </c>
      <c r="D37" s="53">
        <f>IF(AND(B3*12&gt;=150000),0.17*B3*B5,0.17*B3)</f>
        <v>340</v>
      </c>
      <c r="E37" s="49">
        <f t="shared" si="15"/>
        <v>48.959999999999994</v>
      </c>
      <c r="F37" s="54">
        <f t="shared" ref="F37:F38" si="17">C37</f>
        <v>0.14399999999999999</v>
      </c>
      <c r="G37" s="53">
        <f>IF(AND(I3*12&gt;=150000),0.17*I3*B6,0.17*I3)</f>
        <v>330.82000000000005</v>
      </c>
      <c r="H37" s="49">
        <f t="shared" si="16"/>
        <v>47.638080000000002</v>
      </c>
      <c r="I37" s="18">
        <f t="shared" si="2"/>
        <v>-1.3219199999999915</v>
      </c>
      <c r="J37" s="19">
        <f t="shared" si="3"/>
        <v>-2.699999999999983E-2</v>
      </c>
    </row>
    <row r="38" spans="1:10" ht="15" thickBot="1" x14ac:dyDescent="0.35">
      <c r="A38" s="3" t="s">
        <v>43</v>
      </c>
      <c r="B38" s="12"/>
      <c r="C38" s="52">
        <f>Residential!C37</f>
        <v>0.20799999999999999</v>
      </c>
      <c r="D38" s="53">
        <f>IF(AND(B3*12&gt;=150000),0.18*B3*B5,0.18*B3)</f>
        <v>360</v>
      </c>
      <c r="E38" s="49">
        <f t="shared" si="15"/>
        <v>74.88</v>
      </c>
      <c r="F38" s="54">
        <f t="shared" si="17"/>
        <v>0.20799999999999999</v>
      </c>
      <c r="G38" s="53">
        <f>IF(AND(I3*12&gt;=150000),0.18*I3*B6,0.18*I3)</f>
        <v>350.28</v>
      </c>
      <c r="H38" s="49">
        <f t="shared" si="16"/>
        <v>72.858239999999995</v>
      </c>
      <c r="I38" s="18">
        <f t="shared" si="2"/>
        <v>-2.0217600000000004</v>
      </c>
      <c r="J38" s="19">
        <f t="shared" si="3"/>
        <v>-2.7000000000000007E-2</v>
      </c>
    </row>
    <row r="39" spans="1:10" hidden="1" x14ac:dyDescent="0.3">
      <c r="A39" s="51" t="s">
        <v>44</v>
      </c>
      <c r="B39" s="12"/>
      <c r="C39" s="55">
        <v>0.1101</v>
      </c>
      <c r="D39" s="53">
        <f t="shared" ref="D39:D40" si="18">IF($B$4&gt;0,$B$4,$B$3)</f>
        <v>2000</v>
      </c>
      <c r="E39" s="49">
        <f t="shared" si="15"/>
        <v>220.20000000000002</v>
      </c>
      <c r="F39" s="56">
        <v>0.1101</v>
      </c>
      <c r="G39" s="53">
        <f t="shared" ref="G39:G40" si="19">+$I$3</f>
        <v>1946</v>
      </c>
      <c r="H39" s="49">
        <f t="shared" si="16"/>
        <v>214.25460000000001</v>
      </c>
      <c r="I39" s="18">
        <f t="shared" si="2"/>
        <v>-5.9454000000000065</v>
      </c>
      <c r="J39" s="19">
        <f t="shared" si="3"/>
        <v>-2.7000000000000027E-2</v>
      </c>
    </row>
    <row r="40" spans="1:10" ht="15" hidden="1" thickBot="1" x14ac:dyDescent="0.35">
      <c r="A40" s="51" t="s">
        <v>45</v>
      </c>
      <c r="B40" s="12"/>
      <c r="C40" s="55">
        <v>0.1101</v>
      </c>
      <c r="D40" s="53">
        <f t="shared" si="18"/>
        <v>2000</v>
      </c>
      <c r="E40" s="49">
        <f t="shared" si="15"/>
        <v>220.20000000000002</v>
      </c>
      <c r="F40" s="56">
        <v>0.1101</v>
      </c>
      <c r="G40" s="53">
        <f t="shared" si="19"/>
        <v>1946</v>
      </c>
      <c r="H40" s="49">
        <f t="shared" si="16"/>
        <v>214.25460000000001</v>
      </c>
      <c r="I40" s="18">
        <f t="shared" si="2"/>
        <v>-5.9454000000000065</v>
      </c>
      <c r="J40" s="19">
        <f t="shared" si="3"/>
        <v>-2.7000000000000027E-2</v>
      </c>
    </row>
    <row r="41" spans="1:10" ht="15" thickBot="1" x14ac:dyDescent="0.35">
      <c r="A41" s="57"/>
      <c r="B41" s="58"/>
      <c r="C41" s="59"/>
      <c r="D41" s="60"/>
      <c r="E41" s="61"/>
      <c r="F41" s="59"/>
      <c r="G41" s="62"/>
      <c r="H41" s="61"/>
      <c r="I41" s="63"/>
      <c r="J41" s="64"/>
    </row>
    <row r="42" spans="1:10" x14ac:dyDescent="0.3">
      <c r="A42" s="65" t="s">
        <v>46</v>
      </c>
      <c r="B42" s="50"/>
      <c r="C42" s="66"/>
      <c r="D42" s="67"/>
      <c r="E42" s="68">
        <f>SUM(E31:E38)</f>
        <v>362.30636000000004</v>
      </c>
      <c r="F42" s="69"/>
      <c r="G42" s="69"/>
      <c r="H42" s="68">
        <f>SUM(H31:H38)</f>
        <v>357.59645488000001</v>
      </c>
      <c r="I42" s="70">
        <f>SUM(I31:I38)</f>
        <v>-4.7099051199999948</v>
      </c>
      <c r="J42" s="71">
        <f t="shared" ref="J42:J43" si="20">IF((E42)=0,"",(I42/E42))</f>
        <v>-1.299978592702594E-2</v>
      </c>
    </row>
    <row r="43" spans="1:10" x14ac:dyDescent="0.3">
      <c r="A43" s="72" t="s">
        <v>47</v>
      </c>
      <c r="B43" s="50"/>
      <c r="C43" s="66">
        <v>0.13</v>
      </c>
      <c r="D43" s="73"/>
      <c r="E43" s="74">
        <f>+E42*C43</f>
        <v>47.09982680000001</v>
      </c>
      <c r="F43" s="75">
        <v>0.13</v>
      </c>
      <c r="G43" s="14"/>
      <c r="H43" s="74">
        <f>+H42*F43</f>
        <v>46.487539134400002</v>
      </c>
      <c r="I43" s="76">
        <f>+I42*F43</f>
        <v>-0.61228766559999936</v>
      </c>
      <c r="J43" s="77">
        <f t="shared" si="20"/>
        <v>-1.299978592702594E-2</v>
      </c>
    </row>
    <row r="44" spans="1:10" x14ac:dyDescent="0.3">
      <c r="A44" s="72" t="s">
        <v>94</v>
      </c>
      <c r="B44" s="50"/>
      <c r="C44" s="141">
        <f>Residential!C43</f>
        <v>0.318</v>
      </c>
      <c r="D44" s="73"/>
      <c r="E44" s="74">
        <f>+E42*-C44</f>
        <v>-115.21342248000002</v>
      </c>
      <c r="F44" s="141">
        <f>C44</f>
        <v>0.318</v>
      </c>
      <c r="G44" s="14"/>
      <c r="H44" s="74">
        <f>+F44*-H42</f>
        <v>-113.71567265184001</v>
      </c>
      <c r="I44" s="76">
        <f>+F44*-I42</f>
        <v>1.4977498281599984</v>
      </c>
      <c r="J44" s="77"/>
    </row>
    <row r="45" spans="1:10" ht="15" thickBot="1" x14ac:dyDescent="0.35">
      <c r="A45" s="212" t="s">
        <v>48</v>
      </c>
      <c r="B45" s="212"/>
      <c r="C45" s="78"/>
      <c r="D45" s="79"/>
      <c r="E45" s="80">
        <f>+E42+E43+E44</f>
        <v>294.19276432000004</v>
      </c>
      <c r="F45" s="81"/>
      <c r="G45" s="81"/>
      <c r="H45" s="82">
        <f>+H42+H43+H44</f>
        <v>290.36832136255998</v>
      </c>
      <c r="I45" s="83">
        <f>+I42+I43+I44</f>
        <v>-3.8244429574399961</v>
      </c>
      <c r="J45" s="84">
        <f>IF((E45)=0,"",(I45/E45))</f>
        <v>-1.2999785927025942E-2</v>
      </c>
    </row>
    <row r="46" spans="1:10" ht="15" thickBot="1" x14ac:dyDescent="0.35">
      <c r="A46" s="57"/>
      <c r="B46" s="58"/>
      <c r="C46" s="59"/>
      <c r="D46" s="60"/>
      <c r="E46" s="61"/>
      <c r="F46" s="59"/>
      <c r="G46" s="62"/>
      <c r="H46" s="61"/>
      <c r="I46" s="63"/>
      <c r="J46" s="64"/>
    </row>
    <row r="48" spans="1:10" x14ac:dyDescent="0.3">
      <c r="A48" s="1" t="s">
        <v>0</v>
      </c>
      <c r="B48" s="200" t="s">
        <v>51</v>
      </c>
      <c r="C48" s="200"/>
      <c r="D48" s="200"/>
      <c r="E48" s="200"/>
      <c r="F48" s="200"/>
      <c r="G48" s="200"/>
      <c r="H48" s="2" t="s">
        <v>2</v>
      </c>
      <c r="I48" s="2"/>
      <c r="J48" s="2"/>
    </row>
    <row r="49" spans="1:10" x14ac:dyDescent="0.3">
      <c r="A49" s="85" t="s">
        <v>3</v>
      </c>
      <c r="B49" s="201" t="s">
        <v>4</v>
      </c>
      <c r="C49" s="201"/>
      <c r="D49" s="201"/>
      <c r="E49" s="86"/>
      <c r="F49" s="86"/>
      <c r="G49" s="87"/>
      <c r="H49" s="87"/>
      <c r="I49" s="87"/>
      <c r="J49" s="87"/>
    </row>
    <row r="50" spans="1:10" ht="15.6" x14ac:dyDescent="0.3">
      <c r="A50" s="85" t="s">
        <v>5</v>
      </c>
      <c r="B50" s="88">
        <v>272</v>
      </c>
      <c r="C50" s="89" t="s">
        <v>6</v>
      </c>
      <c r="D50" s="90"/>
      <c r="E50" s="98" t="s">
        <v>49</v>
      </c>
      <c r="F50" s="96">
        <f>F3</f>
        <v>2.7E-2</v>
      </c>
      <c r="G50" s="91"/>
      <c r="H50" s="97" t="s">
        <v>50</v>
      </c>
      <c r="I50" s="99">
        <f>B50*(1-F50)</f>
        <v>264.65600000000001</v>
      </c>
      <c r="J50" s="91"/>
    </row>
    <row r="51" spans="1:10" ht="15.6" x14ac:dyDescent="0.3">
      <c r="A51" s="85" t="s">
        <v>7</v>
      </c>
      <c r="B51" s="88">
        <v>0</v>
      </c>
      <c r="C51" s="92" t="s">
        <v>8</v>
      </c>
      <c r="D51" s="93"/>
      <c r="E51" s="94"/>
      <c r="F51" s="94"/>
      <c r="G51" s="94"/>
      <c r="H51" s="87"/>
      <c r="I51" s="87"/>
      <c r="J51" s="87"/>
    </row>
    <row r="52" spans="1:10" x14ac:dyDescent="0.3">
      <c r="A52" s="85" t="s">
        <v>9</v>
      </c>
      <c r="B52" s="95">
        <v>1.0481</v>
      </c>
      <c r="C52" s="87"/>
      <c r="D52" s="87"/>
      <c r="E52" s="87" t="s">
        <v>98</v>
      </c>
      <c r="F52" s="96">
        <f>F5</f>
        <v>1.9E-2</v>
      </c>
      <c r="G52" s="87"/>
      <c r="H52" s="87"/>
      <c r="I52" s="87"/>
      <c r="J52" s="87"/>
    </row>
    <row r="53" spans="1:10" x14ac:dyDescent="0.3">
      <c r="A53" s="1" t="s">
        <v>10</v>
      </c>
      <c r="B53" s="4">
        <v>1.0481</v>
      </c>
      <c r="C53" s="2"/>
      <c r="D53" s="2"/>
      <c r="E53" s="2"/>
      <c r="F53" s="2"/>
      <c r="G53" s="2"/>
      <c r="H53" s="2"/>
      <c r="I53" s="2"/>
      <c r="J53" s="2"/>
    </row>
    <row r="54" spans="1:10" x14ac:dyDescent="0.3">
      <c r="A54" s="3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">
      <c r="A55" s="3"/>
      <c r="B55" s="5"/>
      <c r="C55" s="202" t="s">
        <v>103</v>
      </c>
      <c r="D55" s="203"/>
      <c r="E55" s="204"/>
      <c r="F55" s="205" t="s">
        <v>54</v>
      </c>
      <c r="G55" s="203"/>
      <c r="H55" s="204"/>
      <c r="I55" s="202" t="s">
        <v>11</v>
      </c>
      <c r="J55" s="204"/>
    </row>
    <row r="56" spans="1:10" x14ac:dyDescent="0.3">
      <c r="A56" s="3"/>
      <c r="B56" s="206"/>
      <c r="C56" s="6" t="s">
        <v>12</v>
      </c>
      <c r="D56" s="6" t="s">
        <v>13</v>
      </c>
      <c r="E56" s="7" t="s">
        <v>14</v>
      </c>
      <c r="F56" s="6" t="s">
        <v>12</v>
      </c>
      <c r="G56" s="8" t="s">
        <v>13</v>
      </c>
      <c r="H56" s="7" t="s">
        <v>14</v>
      </c>
      <c r="I56" s="208" t="s">
        <v>15</v>
      </c>
      <c r="J56" s="210" t="s">
        <v>16</v>
      </c>
    </row>
    <row r="57" spans="1:10" x14ac:dyDescent="0.3">
      <c r="A57" s="3"/>
      <c r="B57" s="207"/>
      <c r="C57" s="9" t="s">
        <v>17</v>
      </c>
      <c r="D57" s="9"/>
      <c r="E57" s="10" t="s">
        <v>17</v>
      </c>
      <c r="F57" s="9" t="s">
        <v>17</v>
      </c>
      <c r="G57" s="10"/>
      <c r="H57" s="10" t="s">
        <v>17</v>
      </c>
      <c r="I57" s="209"/>
      <c r="J57" s="211"/>
    </row>
    <row r="58" spans="1:10" x14ac:dyDescent="0.3">
      <c r="A58" s="11" t="s">
        <v>18</v>
      </c>
      <c r="B58" s="12"/>
      <c r="C58" s="13">
        <f>C11</f>
        <v>21.63</v>
      </c>
      <c r="D58" s="14">
        <v>1</v>
      </c>
      <c r="E58" s="15">
        <f>C58*D58</f>
        <v>21.63</v>
      </c>
      <c r="F58" s="16">
        <f>C58*(1+F52)</f>
        <v>22.040969999999998</v>
      </c>
      <c r="G58" s="17">
        <v>1</v>
      </c>
      <c r="H58" s="15">
        <f>F58*G58</f>
        <v>22.040969999999998</v>
      </c>
      <c r="I58" s="18">
        <f>+H58-E58</f>
        <v>0.41096999999999895</v>
      </c>
      <c r="J58" s="19">
        <f>IF(ISERROR(I58/E58),"",I58/E58)</f>
        <v>1.8999999999999951E-2</v>
      </c>
    </row>
    <row r="59" spans="1:10" x14ac:dyDescent="0.3">
      <c r="A59" s="11" t="s">
        <v>19</v>
      </c>
      <c r="B59" s="12"/>
      <c r="C59" s="20">
        <f>C12</f>
        <v>2.5899999999999999E-2</v>
      </c>
      <c r="D59" s="14">
        <f>IF($B$51&gt;0,$B$51,$B$50)</f>
        <v>272</v>
      </c>
      <c r="E59" s="15">
        <f t="shared" ref="E59:E64" si="21">C59*D59</f>
        <v>7.0447999999999995</v>
      </c>
      <c r="F59" s="21">
        <f>C59*(1+F52)</f>
        <v>2.6392099999999998E-2</v>
      </c>
      <c r="G59" s="100">
        <f>+$I$50</f>
        <v>264.65600000000001</v>
      </c>
      <c r="H59" s="15">
        <f t="shared" ref="H59:H64" si="22">F59*G59</f>
        <v>6.9848276175999997</v>
      </c>
      <c r="I59" s="18">
        <f t="shared" ref="I59:I65" si="23">+H59-E59</f>
        <v>-5.9972382399999802E-2</v>
      </c>
      <c r="J59" s="19">
        <f t="shared" ref="J59:J65" si="24">IF(ISERROR(I59/E59),"",I59/E59)</f>
        <v>-8.512999999999972E-3</v>
      </c>
    </row>
    <row r="60" spans="1:10" hidden="1" x14ac:dyDescent="0.3">
      <c r="A60" s="11" t="s">
        <v>20</v>
      </c>
      <c r="B60" s="12"/>
      <c r="C60" s="20">
        <v>0</v>
      </c>
      <c r="D60" s="14">
        <f>IF($B$51&gt;0,$B$51,$B$50)</f>
        <v>272</v>
      </c>
      <c r="E60" s="15">
        <f t="shared" si="21"/>
        <v>0</v>
      </c>
      <c r="F60" s="21"/>
      <c r="G60" s="100">
        <f>+$I$50</f>
        <v>264.65600000000001</v>
      </c>
      <c r="H60" s="15">
        <f t="shared" si="22"/>
        <v>0</v>
      </c>
      <c r="I60" s="18">
        <f t="shared" si="23"/>
        <v>0</v>
      </c>
      <c r="J60" s="19" t="str">
        <f t="shared" si="24"/>
        <v/>
      </c>
    </row>
    <row r="61" spans="1:10" hidden="1" x14ac:dyDescent="0.3">
      <c r="A61" s="11" t="s">
        <v>21</v>
      </c>
      <c r="B61" s="12"/>
      <c r="C61" s="20">
        <v>0</v>
      </c>
      <c r="D61" s="14">
        <f>IF($B$51&gt;0,$B$51,$B$50)</f>
        <v>272</v>
      </c>
      <c r="E61" s="15">
        <f t="shared" si="21"/>
        <v>0</v>
      </c>
      <c r="F61" s="21"/>
      <c r="G61" s="100">
        <f>+$I$50</f>
        <v>264.65600000000001</v>
      </c>
      <c r="H61" s="15">
        <f t="shared" si="22"/>
        <v>0</v>
      </c>
      <c r="I61" s="18">
        <f t="shared" si="23"/>
        <v>0</v>
      </c>
      <c r="J61" s="19" t="str">
        <f t="shared" si="24"/>
        <v/>
      </c>
    </row>
    <row r="62" spans="1:10" x14ac:dyDescent="0.3">
      <c r="A62" s="22" t="s">
        <v>22</v>
      </c>
      <c r="B62" s="12"/>
      <c r="C62" s="13">
        <v>0.26</v>
      </c>
      <c r="D62" s="14">
        <v>1</v>
      </c>
      <c r="E62" s="15">
        <f t="shared" si="21"/>
        <v>0.26</v>
      </c>
      <c r="F62" s="16">
        <f>C62</f>
        <v>0.26</v>
      </c>
      <c r="G62" s="17">
        <v>1</v>
      </c>
      <c r="H62" s="15">
        <f t="shared" si="22"/>
        <v>0.26</v>
      </c>
      <c r="I62" s="18">
        <f t="shared" si="23"/>
        <v>0</v>
      </c>
      <c r="J62" s="19">
        <f t="shared" si="24"/>
        <v>0</v>
      </c>
    </row>
    <row r="63" spans="1:10" x14ac:dyDescent="0.3">
      <c r="A63" s="117" t="s">
        <v>78</v>
      </c>
      <c r="B63" s="12"/>
      <c r="C63" s="13">
        <v>0</v>
      </c>
      <c r="D63" s="14">
        <v>1</v>
      </c>
      <c r="E63" s="15">
        <f t="shared" si="21"/>
        <v>0</v>
      </c>
      <c r="F63" s="16">
        <f>F16</f>
        <v>0.95</v>
      </c>
      <c r="G63" s="17">
        <v>1</v>
      </c>
      <c r="H63" s="15">
        <f t="shared" si="22"/>
        <v>0.95</v>
      </c>
      <c r="I63" s="18">
        <f t="shared" si="23"/>
        <v>0.95</v>
      </c>
      <c r="J63" s="19" t="str">
        <f t="shared" si="24"/>
        <v/>
      </c>
    </row>
    <row r="64" spans="1:10" x14ac:dyDescent="0.3">
      <c r="A64" s="11" t="s">
        <v>79</v>
      </c>
      <c r="B64" s="12"/>
      <c r="C64" s="20">
        <v>0</v>
      </c>
      <c r="D64" s="14">
        <f>IF($B$51&gt;0,$B$51,$B$50)</f>
        <v>272</v>
      </c>
      <c r="E64" s="15">
        <f t="shared" si="21"/>
        <v>0</v>
      </c>
      <c r="F64" s="21">
        <f>F17</f>
        <v>1.1000000000000001E-3</v>
      </c>
      <c r="G64" s="100">
        <f>+$I$50</f>
        <v>264.65600000000001</v>
      </c>
      <c r="H64" s="15">
        <f t="shared" si="22"/>
        <v>0.29112160000000004</v>
      </c>
      <c r="I64" s="18">
        <f t="shared" si="23"/>
        <v>0.29112160000000004</v>
      </c>
      <c r="J64" s="19" t="str">
        <f t="shared" si="24"/>
        <v/>
      </c>
    </row>
    <row r="65" spans="1:10" x14ac:dyDescent="0.3">
      <c r="A65" s="22" t="s">
        <v>23</v>
      </c>
      <c r="B65" s="143"/>
      <c r="C65" s="52">
        <v>2.9999999999999997E-4</v>
      </c>
      <c r="D65" s="14">
        <f>IF($B$51&gt;0,$B$51,$B$50)</f>
        <v>272</v>
      </c>
      <c r="E65" s="144">
        <f>C65*D65</f>
        <v>8.1599999999999992E-2</v>
      </c>
      <c r="F65" s="54">
        <f>C65</f>
        <v>2.9999999999999997E-4</v>
      </c>
      <c r="G65" s="100">
        <f>+$I$50</f>
        <v>264.65600000000001</v>
      </c>
      <c r="H65" s="144">
        <f>G65*F65</f>
        <v>7.939679999999999E-2</v>
      </c>
      <c r="I65" s="76">
        <f t="shared" si="23"/>
        <v>-2.2032000000000024E-3</v>
      </c>
      <c r="J65" s="145">
        <f t="shared" si="24"/>
        <v>-2.7000000000000031E-2</v>
      </c>
    </row>
    <row r="66" spans="1:10" x14ac:dyDescent="0.3">
      <c r="A66" s="23" t="s">
        <v>24</v>
      </c>
      <c r="B66" s="24"/>
      <c r="C66" s="25"/>
      <c r="D66" s="26"/>
      <c r="E66" s="27">
        <f>SUM(E58:E65)</f>
        <v>29.016400000000001</v>
      </c>
      <c r="F66" s="28"/>
      <c r="G66" s="29"/>
      <c r="H66" s="27">
        <f>SUM(H58:H65)</f>
        <v>30.606316017600001</v>
      </c>
      <c r="I66" s="30">
        <f>SUM(I58:I65)</f>
        <v>1.5899160175999991</v>
      </c>
      <c r="J66" s="31">
        <f>IF((E66)=0,"",(I66/E66))</f>
        <v>5.4793703478033078E-2</v>
      </c>
    </row>
    <row r="67" spans="1:10" x14ac:dyDescent="0.3">
      <c r="A67" s="32" t="s">
        <v>25</v>
      </c>
      <c r="B67" s="12"/>
      <c r="C67" s="140">
        <f>C83*0.64+C84*0.18+C85*0.18</f>
        <v>0.128</v>
      </c>
      <c r="D67" s="33">
        <f>IF(C67=0,0,$B$50*B52-B50)</f>
        <v>13.083200000000033</v>
      </c>
      <c r="E67" s="15">
        <f>C67*D67</f>
        <v>1.6746496000000044</v>
      </c>
      <c r="F67" s="140">
        <f>F83*0.64+F84*0.18+F85*0.18</f>
        <v>0.128</v>
      </c>
      <c r="G67" s="33">
        <f>IF(F67=0,0,$I$50*B53-I50)</f>
        <v>12.729953599999988</v>
      </c>
      <c r="H67" s="15">
        <f t="shared" ref="H67" si="25">F67*G67</f>
        <v>1.6294340607999984</v>
      </c>
      <c r="I67" s="18">
        <f t="shared" ref="I67:I74" si="26">+H67-E67</f>
        <v>-4.5215539200005983E-2</v>
      </c>
      <c r="J67" s="19">
        <f t="shared" ref="J67:J74" si="27">IF(ISERROR(I67/E67),"",I67/E67)</f>
        <v>-2.70000000000035E-2</v>
      </c>
    </row>
    <row r="68" spans="1:10" x14ac:dyDescent="0.3">
      <c r="A68" s="32" t="s">
        <v>26</v>
      </c>
      <c r="B68" s="143"/>
      <c r="C68" s="52">
        <v>0</v>
      </c>
      <c r="D68" s="14">
        <f>IF($B$51&gt;0,$B$51,$B$50)</f>
        <v>272</v>
      </c>
      <c r="E68" s="144">
        <v>0</v>
      </c>
      <c r="F68" s="54">
        <f>C68</f>
        <v>0</v>
      </c>
      <c r="G68" s="100">
        <f>+$I$50</f>
        <v>264.65600000000001</v>
      </c>
      <c r="H68" s="144">
        <v>0</v>
      </c>
      <c r="I68" s="76">
        <f t="shared" si="26"/>
        <v>0</v>
      </c>
      <c r="J68" s="145" t="str">
        <f t="shared" si="27"/>
        <v/>
      </c>
    </row>
    <row r="69" spans="1:10" x14ac:dyDescent="0.3">
      <c r="A69" s="32" t="s">
        <v>27</v>
      </c>
      <c r="B69" s="12"/>
      <c r="C69" s="20">
        <v>0</v>
      </c>
      <c r="D69" s="14">
        <f>IF($B$51&gt;0,$B$51,$B$50)</f>
        <v>272</v>
      </c>
      <c r="E69" s="15">
        <f t="shared" ref="E69:E74" si="28">C69*D69</f>
        <v>0</v>
      </c>
      <c r="F69" s="21">
        <v>0</v>
      </c>
      <c r="G69" s="100">
        <f>+$I$50</f>
        <v>264.65600000000001</v>
      </c>
      <c r="H69" s="15">
        <f t="shared" ref="H69:H74" si="29">F69*G69</f>
        <v>0</v>
      </c>
      <c r="I69" s="18">
        <f t="shared" si="26"/>
        <v>0</v>
      </c>
      <c r="J69" s="19" t="str">
        <f t="shared" si="27"/>
        <v/>
      </c>
    </row>
    <row r="70" spans="1:10" x14ac:dyDescent="0.3">
      <c r="A70" s="32" t="s">
        <v>28</v>
      </c>
      <c r="B70" s="12"/>
      <c r="C70" s="20">
        <v>0</v>
      </c>
      <c r="D70" s="14">
        <f>IF($B$51&gt;0,$B$51,$B$50)</f>
        <v>272</v>
      </c>
      <c r="E70" s="15">
        <f t="shared" si="28"/>
        <v>0</v>
      </c>
      <c r="F70" s="21">
        <v>0</v>
      </c>
      <c r="G70" s="100">
        <f>+$I$50</f>
        <v>264.65600000000001</v>
      </c>
      <c r="H70" s="15">
        <f t="shared" si="29"/>
        <v>0</v>
      </c>
      <c r="I70" s="18">
        <f t="shared" si="26"/>
        <v>0</v>
      </c>
      <c r="J70" s="19" t="str">
        <f t="shared" si="27"/>
        <v/>
      </c>
    </row>
    <row r="71" spans="1:10" x14ac:dyDescent="0.3">
      <c r="A71" s="35" t="s">
        <v>29</v>
      </c>
      <c r="B71" s="12"/>
      <c r="C71" s="20">
        <v>0</v>
      </c>
      <c r="D71" s="14">
        <f>IF($B$51&gt;0,$B$51,$B$50)</f>
        <v>272</v>
      </c>
      <c r="E71" s="15">
        <f t="shared" si="28"/>
        <v>0</v>
      </c>
      <c r="F71" s="21"/>
      <c r="G71" s="100">
        <f>+$I$50</f>
        <v>264.65600000000001</v>
      </c>
      <c r="H71" s="15">
        <f t="shared" si="29"/>
        <v>0</v>
      </c>
      <c r="I71" s="18">
        <f t="shared" si="26"/>
        <v>0</v>
      </c>
      <c r="J71" s="19" t="str">
        <f t="shared" si="27"/>
        <v/>
      </c>
    </row>
    <row r="72" spans="1:10" x14ac:dyDescent="0.3">
      <c r="A72" s="36" t="s">
        <v>30</v>
      </c>
      <c r="B72" s="12"/>
      <c r="C72" s="37">
        <v>0.56999999999999995</v>
      </c>
      <c r="D72" s="14">
        <v>1</v>
      </c>
      <c r="E72" s="15">
        <f t="shared" si="28"/>
        <v>0.56999999999999995</v>
      </c>
      <c r="F72" s="38">
        <f>C72</f>
        <v>0.56999999999999995</v>
      </c>
      <c r="G72" s="14">
        <v>1</v>
      </c>
      <c r="H72" s="15">
        <f t="shared" si="29"/>
        <v>0.56999999999999995</v>
      </c>
      <c r="I72" s="18">
        <f t="shared" si="26"/>
        <v>0</v>
      </c>
      <c r="J72" s="19">
        <f t="shared" si="27"/>
        <v>0</v>
      </c>
    </row>
    <row r="73" spans="1:10" x14ac:dyDescent="0.3">
      <c r="A73" s="35" t="s">
        <v>31</v>
      </c>
      <c r="B73" s="12"/>
      <c r="C73" s="13">
        <v>0</v>
      </c>
      <c r="D73" s="14">
        <v>1</v>
      </c>
      <c r="E73" s="15">
        <f t="shared" si="28"/>
        <v>0</v>
      </c>
      <c r="F73" s="16">
        <v>0</v>
      </c>
      <c r="G73" s="14">
        <v>1</v>
      </c>
      <c r="H73" s="15">
        <f t="shared" si="29"/>
        <v>0</v>
      </c>
      <c r="I73" s="18">
        <f t="shared" si="26"/>
        <v>0</v>
      </c>
      <c r="J73" s="19" t="str">
        <f t="shared" si="27"/>
        <v/>
      </c>
    </row>
    <row r="74" spans="1:10" x14ac:dyDescent="0.3">
      <c r="A74" s="35" t="s">
        <v>32</v>
      </c>
      <c r="B74" s="12"/>
      <c r="C74" s="20">
        <v>-4.0000000000000002E-4</v>
      </c>
      <c r="D74" s="14">
        <f>IF($B$51&gt;0,$B$51,$B$50)</f>
        <v>272</v>
      </c>
      <c r="E74" s="15">
        <f t="shared" si="28"/>
        <v>-0.10880000000000001</v>
      </c>
      <c r="F74" s="21">
        <f>C74</f>
        <v>-4.0000000000000002E-4</v>
      </c>
      <c r="G74" s="100">
        <f>+$I$50</f>
        <v>264.65600000000001</v>
      </c>
      <c r="H74" s="15">
        <f t="shared" si="29"/>
        <v>-0.10586240000000001</v>
      </c>
      <c r="I74" s="18">
        <f t="shared" si="26"/>
        <v>2.9375999999999985E-3</v>
      </c>
      <c r="J74" s="19">
        <f t="shared" si="27"/>
        <v>-2.6999999999999986E-2</v>
      </c>
    </row>
    <row r="75" spans="1:10" ht="26.4" x14ac:dyDescent="0.3">
      <c r="A75" s="39" t="s">
        <v>33</v>
      </c>
      <c r="B75" s="40"/>
      <c r="C75" s="41"/>
      <c r="D75" s="42"/>
      <c r="E75" s="43">
        <f>SUM(E66:E74)</f>
        <v>31.152249600000008</v>
      </c>
      <c r="F75" s="44"/>
      <c r="G75" s="45"/>
      <c r="H75" s="43">
        <f>SUM(H66:H74)</f>
        <v>32.699887678400003</v>
      </c>
      <c r="I75" s="30">
        <f>SUM(I66:I74)</f>
        <v>1.5476380783999932</v>
      </c>
      <c r="J75" s="31">
        <f>IF((E75)=0,"",(I75/E75))</f>
        <v>4.9679817614198651E-2</v>
      </c>
    </row>
    <row r="76" spans="1:10" x14ac:dyDescent="0.3">
      <c r="A76" s="46" t="s">
        <v>34</v>
      </c>
      <c r="B76" s="12"/>
      <c r="C76" s="20">
        <v>5.8999999999999999E-3</v>
      </c>
      <c r="D76" s="33">
        <f>IF($B$51&gt;0,$B$51,$B$50*$B$52)</f>
        <v>285.08320000000003</v>
      </c>
      <c r="E76" s="15">
        <f t="shared" ref="E76:E77" si="30">C76*D76</f>
        <v>1.6819908800000001</v>
      </c>
      <c r="F76" s="21">
        <f>C76</f>
        <v>5.8999999999999999E-3</v>
      </c>
      <c r="G76" s="33">
        <f>+$I$50*$B$53</f>
        <v>277.38595359999999</v>
      </c>
      <c r="H76" s="15">
        <f t="shared" ref="H76:H77" si="31">F76*G76</f>
        <v>1.63657712624</v>
      </c>
      <c r="I76" s="18">
        <f t="shared" ref="I76:I77" si="32">+H76-E76</f>
        <v>-4.541375376000012E-2</v>
      </c>
      <c r="J76" s="19">
        <f t="shared" ref="J76:J77" si="33">IF(ISERROR(I76/E76),"",I76/E76)</f>
        <v>-2.7000000000000069E-2</v>
      </c>
    </row>
    <row r="77" spans="1:10" ht="26.4" x14ac:dyDescent="0.3">
      <c r="A77" s="47" t="s">
        <v>35</v>
      </c>
      <c r="B77" s="12"/>
      <c r="C77" s="20">
        <v>0</v>
      </c>
      <c r="D77" s="33">
        <f>IF($B$51&gt;0,$B$51,$B$50*$B$52)</f>
        <v>285.08320000000003</v>
      </c>
      <c r="E77" s="15">
        <f t="shared" si="30"/>
        <v>0</v>
      </c>
      <c r="F77" s="21">
        <v>0</v>
      </c>
      <c r="G77" s="33">
        <f>+$I$50*$B$53</f>
        <v>277.38595359999999</v>
      </c>
      <c r="H77" s="15">
        <f t="shared" si="31"/>
        <v>0</v>
      </c>
      <c r="I77" s="18">
        <f t="shared" si="32"/>
        <v>0</v>
      </c>
      <c r="J77" s="19" t="str">
        <f t="shared" si="33"/>
        <v/>
      </c>
    </row>
    <row r="78" spans="1:10" ht="26.4" x14ac:dyDescent="0.3">
      <c r="A78" s="39" t="s">
        <v>36</v>
      </c>
      <c r="B78" s="24"/>
      <c r="C78" s="41"/>
      <c r="D78" s="42"/>
      <c r="E78" s="43">
        <f>SUM(E75:E77)</f>
        <v>32.834240480000005</v>
      </c>
      <c r="F78" s="44"/>
      <c r="G78" s="29"/>
      <c r="H78" s="43">
        <f>SUM(H75:H77)</f>
        <v>34.336464804640002</v>
      </c>
      <c r="I78" s="30">
        <f>SUM(I75:I77)</f>
        <v>1.5022243246399931</v>
      </c>
      <c r="J78" s="31">
        <f>IF((E78)=0,"",(I78/E78))</f>
        <v>4.5751761048196872E-2</v>
      </c>
    </row>
    <row r="79" spans="1:10" x14ac:dyDescent="0.3">
      <c r="A79" s="48" t="s">
        <v>37</v>
      </c>
      <c r="B79" s="12"/>
      <c r="C79" s="20">
        <v>3.3999999999999998E-3</v>
      </c>
      <c r="D79" s="33">
        <f>IF($B$51&gt;0,$B$51,$B$50*$B$52)</f>
        <v>285.08320000000003</v>
      </c>
      <c r="E79" s="49">
        <f t="shared" ref="E79:E87" si="34">C79*D79</f>
        <v>0.96928288000000007</v>
      </c>
      <c r="F79" s="21">
        <v>3.3999999999999998E-3</v>
      </c>
      <c r="G79" s="33">
        <f>+$I$50*$B$53</f>
        <v>277.38595359999999</v>
      </c>
      <c r="H79" s="49">
        <f t="shared" ref="H79:H87" si="35">F79*G79</f>
        <v>0.9431122422399999</v>
      </c>
      <c r="I79" s="18">
        <f t="shared" ref="I79:I87" si="36">+H79-E79</f>
        <v>-2.6170637760000171E-2</v>
      </c>
      <c r="J79" s="19">
        <f t="shared" ref="J79:J87" si="37">IF(ISERROR(I79/E79),"",I79/E79)</f>
        <v>-2.7000000000000173E-2</v>
      </c>
    </row>
    <row r="80" spans="1:10" x14ac:dyDescent="0.3">
      <c r="A80" s="48" t="s">
        <v>38</v>
      </c>
      <c r="B80" s="12"/>
      <c r="C80" s="20">
        <v>5.0000000000000001E-4</v>
      </c>
      <c r="D80" s="33">
        <f>IF($B$51&gt;0,$B$51,$B$50*$B$52)</f>
        <v>285.08320000000003</v>
      </c>
      <c r="E80" s="49">
        <f t="shared" si="34"/>
        <v>0.14254160000000002</v>
      </c>
      <c r="F80" s="21">
        <v>5.0000000000000001E-4</v>
      </c>
      <c r="G80" s="33">
        <f>+$I$50*$B$53</f>
        <v>277.38595359999999</v>
      </c>
      <c r="H80" s="49">
        <f t="shared" si="35"/>
        <v>0.13869297680000001</v>
      </c>
      <c r="I80" s="18">
        <f t="shared" si="36"/>
        <v>-3.848623200000012E-3</v>
      </c>
      <c r="J80" s="19">
        <f t="shared" si="37"/>
        <v>-2.7000000000000079E-2</v>
      </c>
    </row>
    <row r="81" spans="1:10" x14ac:dyDescent="0.3">
      <c r="A81" s="50" t="s">
        <v>39</v>
      </c>
      <c r="B81" s="12"/>
      <c r="C81" s="37">
        <v>0.25</v>
      </c>
      <c r="D81" s="14">
        <v>1</v>
      </c>
      <c r="E81" s="49">
        <f t="shared" si="34"/>
        <v>0.25</v>
      </c>
      <c r="F81" s="38">
        <v>0.25</v>
      </c>
      <c r="G81" s="17">
        <v>1</v>
      </c>
      <c r="H81" s="49">
        <f t="shared" si="35"/>
        <v>0.25</v>
      </c>
      <c r="I81" s="18">
        <f t="shared" si="36"/>
        <v>0</v>
      </c>
      <c r="J81" s="19">
        <f t="shared" si="37"/>
        <v>0</v>
      </c>
    </row>
    <row r="82" spans="1:10" ht="26.4" x14ac:dyDescent="0.3">
      <c r="A82" s="48" t="s">
        <v>40</v>
      </c>
      <c r="B82" s="12"/>
      <c r="C82" s="20"/>
      <c r="D82" s="33"/>
      <c r="E82" s="49">
        <f t="shared" si="34"/>
        <v>0</v>
      </c>
      <c r="F82" s="21"/>
      <c r="G82" s="33"/>
      <c r="H82" s="49">
        <f t="shared" si="35"/>
        <v>0</v>
      </c>
      <c r="I82" s="18">
        <f t="shared" si="36"/>
        <v>0</v>
      </c>
      <c r="J82" s="19" t="str">
        <f t="shared" si="37"/>
        <v/>
      </c>
    </row>
    <row r="83" spans="1:10" x14ac:dyDescent="0.3">
      <c r="A83" s="51" t="s">
        <v>41</v>
      </c>
      <c r="B83" s="12"/>
      <c r="C83" s="52">
        <f>C36</f>
        <v>0.10100000000000001</v>
      </c>
      <c r="D83" s="53">
        <f>IF(AND(B50*12&gt;=150000),0.65*B50*B52,0.65*B50)</f>
        <v>176.8</v>
      </c>
      <c r="E83" s="49">
        <f t="shared" si="34"/>
        <v>17.856800000000003</v>
      </c>
      <c r="F83" s="54">
        <f>C83</f>
        <v>0.10100000000000001</v>
      </c>
      <c r="G83" s="53">
        <f>IF(AND(I50*12&gt;=150000),0.65*I50*B53,0.65*I50)</f>
        <v>172.02640000000002</v>
      </c>
      <c r="H83" s="49">
        <f t="shared" si="35"/>
        <v>17.374666400000002</v>
      </c>
      <c r="I83" s="18">
        <f t="shared" si="36"/>
        <v>-0.48213360000000094</v>
      </c>
      <c r="J83" s="19">
        <f t="shared" si="37"/>
        <v>-2.7000000000000048E-2</v>
      </c>
    </row>
    <row r="84" spans="1:10" x14ac:dyDescent="0.3">
      <c r="A84" s="51" t="s">
        <v>42</v>
      </c>
      <c r="B84" s="12"/>
      <c r="C84" s="52">
        <f t="shared" ref="C84:C85" si="38">C37</f>
        <v>0.14399999999999999</v>
      </c>
      <c r="D84" s="53">
        <f>IF(AND(B50*12&gt;=150000),0.17*B50*B52,0.17*B50)</f>
        <v>46.24</v>
      </c>
      <c r="E84" s="49">
        <f t="shared" si="34"/>
        <v>6.6585599999999996</v>
      </c>
      <c r="F84" s="54">
        <f t="shared" ref="F84:F85" si="39">C84</f>
        <v>0.14399999999999999</v>
      </c>
      <c r="G84" s="53">
        <f>IF(AND(I50*12&gt;=150000),0.17*I50*B53,0.17*I50)</f>
        <v>44.991520000000001</v>
      </c>
      <c r="H84" s="49">
        <f t="shared" si="35"/>
        <v>6.4787788800000001</v>
      </c>
      <c r="I84" s="18">
        <f t="shared" si="36"/>
        <v>-0.17978111999999946</v>
      </c>
      <c r="J84" s="19">
        <f t="shared" si="37"/>
        <v>-2.699999999999992E-2</v>
      </c>
    </row>
    <row r="85" spans="1:10" ht="15" thickBot="1" x14ac:dyDescent="0.35">
      <c r="A85" s="3" t="s">
        <v>43</v>
      </c>
      <c r="B85" s="12"/>
      <c r="C85" s="52">
        <f t="shared" si="38"/>
        <v>0.20799999999999999</v>
      </c>
      <c r="D85" s="53">
        <f>IF(AND(B50*12&gt;=150000),0.18*B50*B52,0.18*B50)</f>
        <v>48.96</v>
      </c>
      <c r="E85" s="49">
        <f t="shared" si="34"/>
        <v>10.183679999999999</v>
      </c>
      <c r="F85" s="54">
        <f t="shared" si="39"/>
        <v>0.20799999999999999</v>
      </c>
      <c r="G85" s="53">
        <f>IF(AND(I50*12&gt;=150000),0.18*I50*B53,0.18*I50)</f>
        <v>47.638080000000002</v>
      </c>
      <c r="H85" s="49">
        <f t="shared" si="35"/>
        <v>9.9087206400000003</v>
      </c>
      <c r="I85" s="18">
        <f t="shared" si="36"/>
        <v>-0.27495935999999865</v>
      </c>
      <c r="J85" s="19">
        <f t="shared" si="37"/>
        <v>-2.6999999999999871E-2</v>
      </c>
    </row>
    <row r="86" spans="1:10" hidden="1" x14ac:dyDescent="0.3">
      <c r="A86" s="51" t="s">
        <v>44</v>
      </c>
      <c r="B86" s="12"/>
      <c r="C86" s="55">
        <v>0.1101</v>
      </c>
      <c r="D86" s="14">
        <f>IF($B$51&gt;0,$B$51,$B$50)</f>
        <v>272</v>
      </c>
      <c r="E86" s="49">
        <f t="shared" si="34"/>
        <v>29.947200000000002</v>
      </c>
      <c r="F86" s="56">
        <v>0.1101</v>
      </c>
      <c r="G86" s="53">
        <f t="shared" ref="G86:G87" si="40">+$I$3</f>
        <v>1946</v>
      </c>
      <c r="H86" s="49">
        <f t="shared" si="35"/>
        <v>214.25460000000001</v>
      </c>
      <c r="I86" s="18">
        <f t="shared" si="36"/>
        <v>184.3074</v>
      </c>
      <c r="J86" s="19">
        <f t="shared" si="37"/>
        <v>6.1544117647058822</v>
      </c>
    </row>
    <row r="87" spans="1:10" ht="15" hidden="1" thickBot="1" x14ac:dyDescent="0.35">
      <c r="A87" s="51" t="s">
        <v>45</v>
      </c>
      <c r="B87" s="12"/>
      <c r="C87" s="55">
        <v>0.1101</v>
      </c>
      <c r="D87" s="14">
        <f>IF($B$51&gt;0,$B$51,$B$50)</f>
        <v>272</v>
      </c>
      <c r="E87" s="49">
        <f t="shared" si="34"/>
        <v>29.947200000000002</v>
      </c>
      <c r="F87" s="56">
        <v>0.1101</v>
      </c>
      <c r="G87" s="53">
        <f t="shared" si="40"/>
        <v>1946</v>
      </c>
      <c r="H87" s="49">
        <f t="shared" si="35"/>
        <v>214.25460000000001</v>
      </c>
      <c r="I87" s="18">
        <f t="shared" si="36"/>
        <v>184.3074</v>
      </c>
      <c r="J87" s="19">
        <f t="shared" si="37"/>
        <v>6.1544117647058822</v>
      </c>
    </row>
    <row r="88" spans="1:10" ht="15" thickBot="1" x14ac:dyDescent="0.35">
      <c r="A88" s="57"/>
      <c r="B88" s="58"/>
      <c r="C88" s="59"/>
      <c r="D88" s="60"/>
      <c r="E88" s="61"/>
      <c r="F88" s="59"/>
      <c r="G88" s="62"/>
      <c r="H88" s="61"/>
      <c r="I88" s="63"/>
      <c r="J88" s="64"/>
    </row>
    <row r="89" spans="1:10" x14ac:dyDescent="0.3">
      <c r="A89" s="65" t="s">
        <v>46</v>
      </c>
      <c r="B89" s="50"/>
      <c r="C89" s="66"/>
      <c r="D89" s="67"/>
      <c r="E89" s="68">
        <f>SUM(E78:E85)</f>
        <v>68.895104960000012</v>
      </c>
      <c r="F89" s="69"/>
      <c r="G89" s="69"/>
      <c r="H89" s="68">
        <f>SUM(H78:H85)</f>
        <v>69.43043594368001</v>
      </c>
      <c r="I89" s="70">
        <f>SUM(I78:I85)</f>
        <v>0.53533098367999399</v>
      </c>
      <c r="J89" s="71">
        <f t="shared" ref="J89:J90" si="41">IF((E89)=0,"",(I89/E89))</f>
        <v>7.7702325004193433E-3</v>
      </c>
    </row>
    <row r="90" spans="1:10" x14ac:dyDescent="0.3">
      <c r="A90" s="72" t="s">
        <v>47</v>
      </c>
      <c r="B90" s="50"/>
      <c r="C90" s="66">
        <v>0.13</v>
      </c>
      <c r="D90" s="73"/>
      <c r="E90" s="74">
        <f>+E89*C90</f>
        <v>8.9563636448000015</v>
      </c>
      <c r="F90" s="75">
        <v>0.13</v>
      </c>
      <c r="G90" s="14"/>
      <c r="H90" s="74">
        <f>+H89*F90</f>
        <v>9.0259566726784008</v>
      </c>
      <c r="I90" s="76">
        <f>+I89*F90</f>
        <v>6.9593027878399216E-2</v>
      </c>
      <c r="J90" s="77">
        <f t="shared" si="41"/>
        <v>7.7702325004193433E-3</v>
      </c>
    </row>
    <row r="91" spans="1:10" x14ac:dyDescent="0.3">
      <c r="A91" s="72" t="s">
        <v>94</v>
      </c>
      <c r="B91" s="50"/>
      <c r="C91" s="141">
        <f>C44</f>
        <v>0.318</v>
      </c>
      <c r="D91" s="73"/>
      <c r="E91" s="74">
        <f>+E89*-C91</f>
        <v>-21.908643377280004</v>
      </c>
      <c r="F91" s="141">
        <f>C91</f>
        <v>0.318</v>
      </c>
      <c r="G91" s="14"/>
      <c r="H91" s="74">
        <f>+F91*-H89</f>
        <v>-22.078878630090244</v>
      </c>
      <c r="I91" s="76">
        <f>+F91*-I89</f>
        <v>-0.1702352528102381</v>
      </c>
      <c r="J91" s="77"/>
    </row>
    <row r="92" spans="1:10" ht="15" thickBot="1" x14ac:dyDescent="0.35">
      <c r="A92" s="212" t="s">
        <v>48</v>
      </c>
      <c r="B92" s="212"/>
      <c r="C92" s="78"/>
      <c r="D92" s="79"/>
      <c r="E92" s="80">
        <f>+E89+E90+E91</f>
        <v>55.942825227520018</v>
      </c>
      <c r="F92" s="81"/>
      <c r="G92" s="81"/>
      <c r="H92" s="82">
        <f>+H89+H90+H91</f>
        <v>56.37751398626817</v>
      </c>
      <c r="I92" s="83">
        <f>+I89+I90+I91</f>
        <v>0.43468875874815505</v>
      </c>
      <c r="J92" s="84">
        <f>IF((E92)=0,"",(I92/E92))</f>
        <v>7.7702325004193407E-3</v>
      </c>
    </row>
    <row r="93" spans="1:10" ht="15" thickBot="1" x14ac:dyDescent="0.35">
      <c r="A93" s="57"/>
      <c r="B93" s="58"/>
      <c r="C93" s="59"/>
      <c r="D93" s="60"/>
      <c r="E93" s="61"/>
      <c r="F93" s="59"/>
      <c r="G93" s="62"/>
      <c r="H93" s="61"/>
      <c r="I93" s="63"/>
      <c r="J93" s="64"/>
    </row>
    <row r="95" spans="1:10" x14ac:dyDescent="0.3">
      <c r="A95" s="1" t="s">
        <v>0</v>
      </c>
      <c r="B95" s="200" t="s">
        <v>51</v>
      </c>
      <c r="C95" s="200"/>
      <c r="D95" s="200"/>
      <c r="E95" s="200"/>
      <c r="F95" s="200"/>
      <c r="G95" s="200"/>
      <c r="H95" s="2" t="s">
        <v>2</v>
      </c>
      <c r="I95" s="2"/>
      <c r="J95" s="2"/>
    </row>
    <row r="96" spans="1:10" x14ac:dyDescent="0.3">
      <c r="A96" s="85" t="s">
        <v>3</v>
      </c>
      <c r="B96" s="201" t="s">
        <v>4</v>
      </c>
      <c r="C96" s="201"/>
      <c r="D96" s="201"/>
      <c r="E96" s="86"/>
      <c r="F96" s="86"/>
      <c r="G96" s="87"/>
      <c r="H96" s="87"/>
      <c r="I96" s="87"/>
      <c r="J96" s="87"/>
    </row>
    <row r="97" spans="1:10" ht="15.6" x14ac:dyDescent="0.3">
      <c r="A97" s="85" t="s">
        <v>5</v>
      </c>
      <c r="B97" s="88">
        <v>3000</v>
      </c>
      <c r="C97" s="89" t="s">
        <v>6</v>
      </c>
      <c r="D97" s="90"/>
      <c r="E97" s="98" t="s">
        <v>49</v>
      </c>
      <c r="F97" s="96">
        <f>Residential!F3</f>
        <v>2.7E-2</v>
      </c>
      <c r="G97" s="91"/>
      <c r="H97" s="97" t="s">
        <v>50</v>
      </c>
      <c r="I97" s="99">
        <f>B97*(1-F97)</f>
        <v>2919</v>
      </c>
      <c r="J97" s="91"/>
    </row>
    <row r="98" spans="1:10" ht="15.6" x14ac:dyDescent="0.3">
      <c r="A98" s="85" t="s">
        <v>7</v>
      </c>
      <c r="B98" s="88">
        <v>0</v>
      </c>
      <c r="C98" s="92" t="s">
        <v>8</v>
      </c>
      <c r="D98" s="93"/>
      <c r="E98" s="94"/>
      <c r="F98" s="94"/>
      <c r="G98" s="94"/>
      <c r="H98" s="87"/>
      <c r="I98" s="87"/>
      <c r="J98" s="87"/>
    </row>
    <row r="99" spans="1:10" x14ac:dyDescent="0.3">
      <c r="A99" s="85" t="s">
        <v>9</v>
      </c>
      <c r="B99" s="95">
        <v>1.0481</v>
      </c>
      <c r="C99" s="87"/>
      <c r="D99" s="87"/>
      <c r="E99" s="87" t="s">
        <v>98</v>
      </c>
      <c r="F99" s="96">
        <f>Residential!F5</f>
        <v>1.9E-2</v>
      </c>
      <c r="G99" s="87"/>
      <c r="H99" s="87"/>
      <c r="I99" s="87"/>
      <c r="J99" s="87"/>
    </row>
    <row r="100" spans="1:10" x14ac:dyDescent="0.3">
      <c r="A100" s="1" t="s">
        <v>10</v>
      </c>
      <c r="B100" s="4">
        <v>1.0481</v>
      </c>
      <c r="C100" s="2"/>
      <c r="D100" s="2"/>
      <c r="E100" s="2"/>
      <c r="F100" s="2"/>
      <c r="G100" s="2"/>
      <c r="H100" s="2"/>
      <c r="I100" s="2"/>
      <c r="J100" s="2"/>
    </row>
    <row r="101" spans="1:10" x14ac:dyDescent="0.3">
      <c r="A101" s="3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">
      <c r="A102" s="3"/>
      <c r="B102" s="5"/>
      <c r="C102" s="202" t="s">
        <v>103</v>
      </c>
      <c r="D102" s="203"/>
      <c r="E102" s="204"/>
      <c r="F102" s="205" t="s">
        <v>54</v>
      </c>
      <c r="G102" s="203"/>
      <c r="H102" s="204"/>
      <c r="I102" s="202" t="s">
        <v>11</v>
      </c>
      <c r="J102" s="204"/>
    </row>
    <row r="103" spans="1:10" x14ac:dyDescent="0.3">
      <c r="A103" s="3"/>
      <c r="B103" s="206"/>
      <c r="C103" s="6" t="s">
        <v>12</v>
      </c>
      <c r="D103" s="6" t="s">
        <v>13</v>
      </c>
      <c r="E103" s="7" t="s">
        <v>14</v>
      </c>
      <c r="F103" s="6" t="s">
        <v>12</v>
      </c>
      <c r="G103" s="8" t="s">
        <v>13</v>
      </c>
      <c r="H103" s="7" t="s">
        <v>14</v>
      </c>
      <c r="I103" s="208" t="s">
        <v>15</v>
      </c>
      <c r="J103" s="210" t="s">
        <v>16</v>
      </c>
    </row>
    <row r="104" spans="1:10" x14ac:dyDescent="0.3">
      <c r="A104" s="3"/>
      <c r="B104" s="207"/>
      <c r="C104" s="9" t="s">
        <v>17</v>
      </c>
      <c r="D104" s="9"/>
      <c r="E104" s="10" t="s">
        <v>17</v>
      </c>
      <c r="F104" s="9" t="s">
        <v>17</v>
      </c>
      <c r="G104" s="10"/>
      <c r="H104" s="10" t="s">
        <v>17</v>
      </c>
      <c r="I104" s="209"/>
      <c r="J104" s="211"/>
    </row>
    <row r="105" spans="1:10" x14ac:dyDescent="0.3">
      <c r="A105" s="11" t="s">
        <v>18</v>
      </c>
      <c r="B105" s="12"/>
      <c r="C105" s="13">
        <f>C11</f>
        <v>21.63</v>
      </c>
      <c r="D105" s="14">
        <v>1</v>
      </c>
      <c r="E105" s="15">
        <f>C105*D105</f>
        <v>21.63</v>
      </c>
      <c r="F105" s="16">
        <f>C105*(1+F99)</f>
        <v>22.040969999999998</v>
      </c>
      <c r="G105" s="17">
        <v>1</v>
      </c>
      <c r="H105" s="15">
        <f>F105*G105</f>
        <v>22.040969999999998</v>
      </c>
      <c r="I105" s="18">
        <f>+H105-E105</f>
        <v>0.41096999999999895</v>
      </c>
      <c r="J105" s="19">
        <f>IF(ISERROR(I105/E105),"",I105/E105)</f>
        <v>1.8999999999999951E-2</v>
      </c>
    </row>
    <row r="106" spans="1:10" x14ac:dyDescent="0.3">
      <c r="A106" s="11" t="s">
        <v>19</v>
      </c>
      <c r="B106" s="12"/>
      <c r="C106" s="20">
        <f>C12</f>
        <v>2.5899999999999999E-2</v>
      </c>
      <c r="D106" s="14">
        <f>IF($B$98&gt;0,$B$98,$B$97)</f>
        <v>3000</v>
      </c>
      <c r="E106" s="15">
        <f t="shared" ref="E106:E111" si="42">C106*D106</f>
        <v>77.7</v>
      </c>
      <c r="F106" s="21">
        <f>C106*(1+F99)</f>
        <v>2.6392099999999998E-2</v>
      </c>
      <c r="G106" s="100">
        <f>+$I$97</f>
        <v>2919</v>
      </c>
      <c r="H106" s="15">
        <f t="shared" ref="H106:H111" si="43">F106*G106</f>
        <v>77.038539899999989</v>
      </c>
      <c r="I106" s="18">
        <f t="shared" ref="I106:I112" si="44">+H106-E106</f>
        <v>-0.66146010000001354</v>
      </c>
      <c r="J106" s="19">
        <f t="shared" ref="J106:J112" si="45">IF(ISERROR(I106/E106),"",I106/E106)</f>
        <v>-8.5130000000001732E-3</v>
      </c>
    </row>
    <row r="107" spans="1:10" hidden="1" x14ac:dyDescent="0.3">
      <c r="A107" s="11" t="s">
        <v>20</v>
      </c>
      <c r="B107" s="12"/>
      <c r="C107" s="20">
        <v>0</v>
      </c>
      <c r="D107" s="14">
        <f>IF($B$4&gt;0,$B$4,$B$3)</f>
        <v>2000</v>
      </c>
      <c r="E107" s="15">
        <f t="shared" si="42"/>
        <v>0</v>
      </c>
      <c r="F107" s="21"/>
      <c r="G107" s="17">
        <f t="shared" ref="G107:G108" si="46">+$I$3</f>
        <v>1946</v>
      </c>
      <c r="H107" s="15">
        <f t="shared" si="43"/>
        <v>0</v>
      </c>
      <c r="I107" s="18">
        <f t="shared" si="44"/>
        <v>0</v>
      </c>
      <c r="J107" s="19" t="str">
        <f t="shared" si="45"/>
        <v/>
      </c>
    </row>
    <row r="108" spans="1:10" hidden="1" x14ac:dyDescent="0.3">
      <c r="A108" s="11" t="s">
        <v>21</v>
      </c>
      <c r="B108" s="12"/>
      <c r="C108" s="20">
        <v>0</v>
      </c>
      <c r="D108" s="14">
        <f>IF($B$4&gt;0,$B$4,$B$3)</f>
        <v>2000</v>
      </c>
      <c r="E108" s="15">
        <f t="shared" si="42"/>
        <v>0</v>
      </c>
      <c r="F108" s="21"/>
      <c r="G108" s="14">
        <f t="shared" si="46"/>
        <v>1946</v>
      </c>
      <c r="H108" s="15">
        <f t="shared" si="43"/>
        <v>0</v>
      </c>
      <c r="I108" s="18">
        <f t="shared" si="44"/>
        <v>0</v>
      </c>
      <c r="J108" s="19" t="str">
        <f t="shared" si="45"/>
        <v/>
      </c>
    </row>
    <row r="109" spans="1:10" x14ac:dyDescent="0.3">
      <c r="A109" s="22" t="s">
        <v>22</v>
      </c>
      <c r="B109" s="12"/>
      <c r="C109" s="13">
        <v>0.26</v>
      </c>
      <c r="D109" s="14">
        <v>1</v>
      </c>
      <c r="E109" s="15">
        <f t="shared" si="42"/>
        <v>0.26</v>
      </c>
      <c r="F109" s="16">
        <f>C109</f>
        <v>0.26</v>
      </c>
      <c r="G109" s="17">
        <v>1</v>
      </c>
      <c r="H109" s="15">
        <f t="shared" si="43"/>
        <v>0.26</v>
      </c>
      <c r="I109" s="18">
        <f t="shared" si="44"/>
        <v>0</v>
      </c>
      <c r="J109" s="19">
        <f t="shared" si="45"/>
        <v>0</v>
      </c>
    </row>
    <row r="110" spans="1:10" x14ac:dyDescent="0.3">
      <c r="A110" s="117" t="s">
        <v>78</v>
      </c>
      <c r="B110" s="12"/>
      <c r="C110" s="13">
        <v>0</v>
      </c>
      <c r="D110" s="14">
        <v>1</v>
      </c>
      <c r="E110" s="15">
        <f t="shared" si="42"/>
        <v>0</v>
      </c>
      <c r="F110" s="16">
        <f>F16</f>
        <v>0.95</v>
      </c>
      <c r="G110" s="17">
        <v>1</v>
      </c>
      <c r="H110" s="15">
        <f t="shared" si="43"/>
        <v>0.95</v>
      </c>
      <c r="I110" s="18">
        <f t="shared" si="44"/>
        <v>0.95</v>
      </c>
      <c r="J110" s="19" t="str">
        <f t="shared" si="45"/>
        <v/>
      </c>
    </row>
    <row r="111" spans="1:10" x14ac:dyDescent="0.3">
      <c r="A111" s="11" t="s">
        <v>79</v>
      </c>
      <c r="B111" s="12"/>
      <c r="C111" s="20">
        <v>0</v>
      </c>
      <c r="D111" s="14">
        <f>IF($B$98&gt;0,$B$98,$B$97)</f>
        <v>3000</v>
      </c>
      <c r="E111" s="15">
        <f t="shared" si="42"/>
        <v>0</v>
      </c>
      <c r="F111" s="172">
        <f>F17</f>
        <v>1.1000000000000001E-3</v>
      </c>
      <c r="G111" s="100">
        <f>+$I$97</f>
        <v>2919</v>
      </c>
      <c r="H111" s="15">
        <f t="shared" si="43"/>
        <v>3.2109000000000001</v>
      </c>
      <c r="I111" s="18">
        <f t="shared" si="44"/>
        <v>3.2109000000000001</v>
      </c>
      <c r="J111" s="19" t="str">
        <f t="shared" si="45"/>
        <v/>
      </c>
    </row>
    <row r="112" spans="1:10" x14ac:dyDescent="0.3">
      <c r="A112" s="22" t="s">
        <v>23</v>
      </c>
      <c r="B112" s="143"/>
      <c r="C112" s="52">
        <v>2.9999999999999997E-4</v>
      </c>
      <c r="D112" s="14">
        <f>IF($B$98&gt;0,$B$98,$B$97)</f>
        <v>3000</v>
      </c>
      <c r="E112" s="144">
        <f>C112*D112</f>
        <v>0.89999999999999991</v>
      </c>
      <c r="F112" s="54">
        <f>C112</f>
        <v>2.9999999999999997E-4</v>
      </c>
      <c r="G112" s="100">
        <f>+$I$97</f>
        <v>2919</v>
      </c>
      <c r="H112" s="144">
        <f>G112*F112</f>
        <v>0.87569999999999992</v>
      </c>
      <c r="I112" s="76">
        <f t="shared" si="44"/>
        <v>-2.4299999999999988E-2</v>
      </c>
      <c r="J112" s="145">
        <f t="shared" si="45"/>
        <v>-2.6999999999999989E-2</v>
      </c>
    </row>
    <row r="113" spans="1:10" x14ac:dyDescent="0.3">
      <c r="A113" s="23" t="s">
        <v>24</v>
      </c>
      <c r="B113" s="24"/>
      <c r="C113" s="25"/>
      <c r="D113" s="26"/>
      <c r="E113" s="27">
        <f>SUM(E105:E112)</f>
        <v>100.49000000000001</v>
      </c>
      <c r="F113" s="28"/>
      <c r="G113" s="29"/>
      <c r="H113" s="27">
        <f>SUM(H105:H112)</f>
        <v>104.37610989999999</v>
      </c>
      <c r="I113" s="30">
        <f>SUM(I105:I112)</f>
        <v>3.886109899999985</v>
      </c>
      <c r="J113" s="31">
        <f>IF((E113)=0,"",(I113/E113))</f>
        <v>3.8671608120210817E-2</v>
      </c>
    </row>
    <row r="114" spans="1:10" x14ac:dyDescent="0.3">
      <c r="A114" s="32" t="s">
        <v>25</v>
      </c>
      <c r="B114" s="12"/>
      <c r="C114" s="140">
        <f>C130*0.64+C131*0.18+C132*0.18</f>
        <v>0.128</v>
      </c>
      <c r="D114" s="33">
        <f>IF(C114=0,0,$B$97*B99-B97)</f>
        <v>144.30000000000018</v>
      </c>
      <c r="E114" s="15">
        <f>C114*D114</f>
        <v>18.470400000000023</v>
      </c>
      <c r="F114" s="140">
        <f>F130*0.64+F131*0.18+F132*0.18</f>
        <v>0.128</v>
      </c>
      <c r="G114" s="33">
        <f>IF(F114=0,0,$I$97*B100-I97)</f>
        <v>140.40390000000025</v>
      </c>
      <c r="H114" s="15">
        <f t="shared" ref="H114" si="47">F114*G114</f>
        <v>17.971699200000032</v>
      </c>
      <c r="I114" s="18">
        <f t="shared" ref="I114:I121" si="48">+H114-E114</f>
        <v>-0.49870079999999106</v>
      </c>
      <c r="J114" s="19">
        <f t="shared" ref="J114:J121" si="49">IF(ISERROR(I114/E114),"",I114/E114)</f>
        <v>-2.6999999999999483E-2</v>
      </c>
    </row>
    <row r="115" spans="1:10" x14ac:dyDescent="0.3">
      <c r="A115" s="32" t="s">
        <v>26</v>
      </c>
      <c r="B115" s="143"/>
      <c r="C115" s="52">
        <v>0</v>
      </c>
      <c r="D115" s="14">
        <f>IF($B$98&gt;0,$B$98,$B$97)</f>
        <v>3000</v>
      </c>
      <c r="E115" s="144">
        <v>0</v>
      </c>
      <c r="F115" s="54">
        <f>C115</f>
        <v>0</v>
      </c>
      <c r="G115" s="100">
        <f>+$I$97</f>
        <v>2919</v>
      </c>
      <c r="H115" s="144">
        <v>0</v>
      </c>
      <c r="I115" s="76">
        <f t="shared" si="48"/>
        <v>0</v>
      </c>
      <c r="J115" s="145" t="str">
        <f t="shared" si="49"/>
        <v/>
      </c>
    </row>
    <row r="116" spans="1:10" x14ac:dyDescent="0.3">
      <c r="A116" s="32" t="s">
        <v>27</v>
      </c>
      <c r="B116" s="12"/>
      <c r="C116" s="20">
        <v>0</v>
      </c>
      <c r="D116" s="14">
        <f>IF($B$98&gt;0,$B$98,$B$97)</f>
        <v>3000</v>
      </c>
      <c r="E116" s="15">
        <f t="shared" ref="E116:E121" si="50">C116*D116</f>
        <v>0</v>
      </c>
      <c r="F116" s="21">
        <v>0</v>
      </c>
      <c r="G116" s="100">
        <f>+$I$97</f>
        <v>2919</v>
      </c>
      <c r="H116" s="15">
        <f t="shared" ref="H116:H121" si="51">F116*G116</f>
        <v>0</v>
      </c>
      <c r="I116" s="18">
        <f t="shared" si="48"/>
        <v>0</v>
      </c>
      <c r="J116" s="19" t="str">
        <f t="shared" si="49"/>
        <v/>
      </c>
    </row>
    <row r="117" spans="1:10" x14ac:dyDescent="0.3">
      <c r="A117" s="32" t="s">
        <v>28</v>
      </c>
      <c r="B117" s="12"/>
      <c r="C117" s="20">
        <v>0</v>
      </c>
      <c r="D117" s="14">
        <f>IF($B$98&gt;0,$B$98,$B$97)</f>
        <v>3000</v>
      </c>
      <c r="E117" s="15">
        <f t="shared" si="50"/>
        <v>0</v>
      </c>
      <c r="F117" s="21">
        <v>0</v>
      </c>
      <c r="G117" s="100">
        <f>+$I$97</f>
        <v>2919</v>
      </c>
      <c r="H117" s="15">
        <f t="shared" si="51"/>
        <v>0</v>
      </c>
      <c r="I117" s="18">
        <f t="shared" si="48"/>
        <v>0</v>
      </c>
      <c r="J117" s="19" t="str">
        <f t="shared" si="49"/>
        <v/>
      </c>
    </row>
    <row r="118" spans="1:10" x14ac:dyDescent="0.3">
      <c r="A118" s="35" t="s">
        <v>29</v>
      </c>
      <c r="B118" s="12"/>
      <c r="C118" s="20">
        <v>0</v>
      </c>
      <c r="D118" s="14">
        <f>IF($B$98&gt;0,$B$98,$B$97)</f>
        <v>3000</v>
      </c>
      <c r="E118" s="15">
        <f t="shared" si="50"/>
        <v>0</v>
      </c>
      <c r="F118" s="21"/>
      <c r="G118" s="100">
        <f>+$I$97</f>
        <v>2919</v>
      </c>
      <c r="H118" s="15">
        <f t="shared" si="51"/>
        <v>0</v>
      </c>
      <c r="I118" s="18">
        <f t="shared" si="48"/>
        <v>0</v>
      </c>
      <c r="J118" s="19" t="str">
        <f t="shared" si="49"/>
        <v/>
      </c>
    </row>
    <row r="119" spans="1:10" x14ac:dyDescent="0.3">
      <c r="A119" s="36" t="s">
        <v>30</v>
      </c>
      <c r="B119" s="12"/>
      <c r="C119" s="37">
        <v>0.56999999999999995</v>
      </c>
      <c r="D119" s="14">
        <v>1</v>
      </c>
      <c r="E119" s="15">
        <f t="shared" si="50"/>
        <v>0.56999999999999995</v>
      </c>
      <c r="F119" s="38">
        <f>C119</f>
        <v>0.56999999999999995</v>
      </c>
      <c r="G119" s="14">
        <v>1</v>
      </c>
      <c r="H119" s="15">
        <f t="shared" si="51"/>
        <v>0.56999999999999995</v>
      </c>
      <c r="I119" s="18">
        <f t="shared" si="48"/>
        <v>0</v>
      </c>
      <c r="J119" s="19">
        <f t="shared" si="49"/>
        <v>0</v>
      </c>
    </row>
    <row r="120" spans="1:10" x14ac:dyDescent="0.3">
      <c r="A120" s="35" t="s">
        <v>31</v>
      </c>
      <c r="B120" s="12"/>
      <c r="C120" s="13">
        <v>0</v>
      </c>
      <c r="D120" s="14">
        <v>1</v>
      </c>
      <c r="E120" s="15">
        <f t="shared" si="50"/>
        <v>0</v>
      </c>
      <c r="F120" s="16">
        <v>0</v>
      </c>
      <c r="G120" s="14">
        <v>1</v>
      </c>
      <c r="H120" s="15">
        <f t="shared" si="51"/>
        <v>0</v>
      </c>
      <c r="I120" s="18">
        <f t="shared" si="48"/>
        <v>0</v>
      </c>
      <c r="J120" s="19" t="str">
        <f t="shared" si="49"/>
        <v/>
      </c>
    </row>
    <row r="121" spans="1:10" x14ac:dyDescent="0.3">
      <c r="A121" s="35" t="s">
        <v>32</v>
      </c>
      <c r="B121" s="12"/>
      <c r="C121" s="20">
        <v>-4.0000000000000002E-4</v>
      </c>
      <c r="D121" s="14">
        <f>IF($B$98&gt;0,$B$98,$B$97)</f>
        <v>3000</v>
      </c>
      <c r="E121" s="15">
        <f t="shared" si="50"/>
        <v>-1.2</v>
      </c>
      <c r="F121" s="21">
        <f>C121</f>
        <v>-4.0000000000000002E-4</v>
      </c>
      <c r="G121" s="100">
        <f>+$I$97</f>
        <v>2919</v>
      </c>
      <c r="H121" s="15">
        <f t="shared" si="51"/>
        <v>-1.1676</v>
      </c>
      <c r="I121" s="18">
        <f t="shared" si="48"/>
        <v>3.2399999999999984E-2</v>
      </c>
      <c r="J121" s="19">
        <f t="shared" si="49"/>
        <v>-2.6999999999999989E-2</v>
      </c>
    </row>
    <row r="122" spans="1:10" ht="26.4" x14ac:dyDescent="0.3">
      <c r="A122" s="39" t="s">
        <v>33</v>
      </c>
      <c r="B122" s="40"/>
      <c r="C122" s="41"/>
      <c r="D122" s="42"/>
      <c r="E122" s="43">
        <f>SUM(E113:E121)</f>
        <v>118.33040000000003</v>
      </c>
      <c r="F122" s="44"/>
      <c r="G122" s="45"/>
      <c r="H122" s="43">
        <f>SUM(H113:H121)</f>
        <v>121.75020910000002</v>
      </c>
      <c r="I122" s="30">
        <f>SUM(I113:I121)</f>
        <v>3.4198090999999939</v>
      </c>
      <c r="J122" s="31">
        <f>IF((E122)=0,"",(I122/E122))</f>
        <v>2.8900511618316114E-2</v>
      </c>
    </row>
    <row r="123" spans="1:10" x14ac:dyDescent="0.3">
      <c r="A123" s="46" t="s">
        <v>34</v>
      </c>
      <c r="B123" s="12"/>
      <c r="C123" s="20">
        <v>5.8999999999999999E-3</v>
      </c>
      <c r="D123" s="33">
        <f>IF($B$98&gt;0,$B$98,$B$97*$B$99)</f>
        <v>3144.3</v>
      </c>
      <c r="E123" s="15">
        <f t="shared" ref="E123:E124" si="52">C123*D123</f>
        <v>18.551370000000002</v>
      </c>
      <c r="F123" s="21">
        <f>C123</f>
        <v>5.8999999999999999E-3</v>
      </c>
      <c r="G123" s="33">
        <f>+$I$97*$B$100</f>
        <v>3059.4039000000002</v>
      </c>
      <c r="H123" s="15">
        <f t="shared" ref="H123:H124" si="53">F123*G123</f>
        <v>18.050483010000001</v>
      </c>
      <c r="I123" s="18">
        <f t="shared" ref="I123:I124" si="54">+H123-E123</f>
        <v>-0.50088699000000148</v>
      </c>
      <c r="J123" s="19">
        <f t="shared" ref="J123:J124" si="55">IF(ISERROR(I123/E123),"",I123/E123)</f>
        <v>-2.7000000000000076E-2</v>
      </c>
    </row>
    <row r="124" spans="1:10" ht="26.4" x14ac:dyDescent="0.3">
      <c r="A124" s="47" t="s">
        <v>35</v>
      </c>
      <c r="B124" s="12"/>
      <c r="C124" s="20">
        <v>0</v>
      </c>
      <c r="D124" s="33">
        <f>IF($B$98&gt;0,$B$98,$B$97*$B$99)</f>
        <v>3144.3</v>
      </c>
      <c r="E124" s="15">
        <f t="shared" si="52"/>
        <v>0</v>
      </c>
      <c r="F124" s="21">
        <v>0</v>
      </c>
      <c r="G124" s="33">
        <f>+$I$97*$B$100</f>
        <v>3059.4039000000002</v>
      </c>
      <c r="H124" s="15">
        <f t="shared" si="53"/>
        <v>0</v>
      </c>
      <c r="I124" s="18">
        <f t="shared" si="54"/>
        <v>0</v>
      </c>
      <c r="J124" s="19" t="str">
        <f t="shared" si="55"/>
        <v/>
      </c>
    </row>
    <row r="125" spans="1:10" ht="26.4" x14ac:dyDescent="0.3">
      <c r="A125" s="39" t="s">
        <v>36</v>
      </c>
      <c r="B125" s="24"/>
      <c r="C125" s="41"/>
      <c r="D125" s="42"/>
      <c r="E125" s="43">
        <f>SUM(E122:E124)</f>
        <v>136.88177000000002</v>
      </c>
      <c r="F125" s="44"/>
      <c r="G125" s="29"/>
      <c r="H125" s="43">
        <f>SUM(H122:H124)</f>
        <v>139.80069211000003</v>
      </c>
      <c r="I125" s="30">
        <f>SUM(I122:I124)</f>
        <v>2.9189221099999925</v>
      </c>
      <c r="J125" s="31">
        <f>IF((E125)=0,"",(I125/E125))</f>
        <v>2.1324403607580412E-2</v>
      </c>
    </row>
    <row r="126" spans="1:10" x14ac:dyDescent="0.3">
      <c r="A126" s="48" t="s">
        <v>37</v>
      </c>
      <c r="B126" s="12"/>
      <c r="C126" s="20">
        <v>3.3999999999999998E-3</v>
      </c>
      <c r="D126" s="33">
        <f>IF($B$98&gt;0,$B$98,$B$97*$B$99)</f>
        <v>3144.3</v>
      </c>
      <c r="E126" s="49">
        <f t="shared" ref="E126:E134" si="56">C126*D126</f>
        <v>10.690620000000001</v>
      </c>
      <c r="F126" s="21">
        <v>3.3999999999999998E-3</v>
      </c>
      <c r="G126" s="33">
        <f>+$I$97*$B$100</f>
        <v>3059.4039000000002</v>
      </c>
      <c r="H126" s="49">
        <f t="shared" ref="H126:H134" si="57">F126*G126</f>
        <v>10.40197326</v>
      </c>
      <c r="I126" s="18">
        <f t="shared" ref="I126:I134" si="58">+H126-E126</f>
        <v>-0.28864674000000079</v>
      </c>
      <c r="J126" s="19">
        <f t="shared" ref="J126:J134" si="59">IF(ISERROR(I126/E126),"",I126/E126)</f>
        <v>-2.7000000000000073E-2</v>
      </c>
    </row>
    <row r="127" spans="1:10" x14ac:dyDescent="0.3">
      <c r="A127" s="48" t="s">
        <v>38</v>
      </c>
      <c r="B127" s="12"/>
      <c r="C127" s="20">
        <v>5.0000000000000001E-4</v>
      </c>
      <c r="D127" s="33">
        <f>IF($B$98&gt;0,$B$98,$B$97*$B$99)</f>
        <v>3144.3</v>
      </c>
      <c r="E127" s="49">
        <f t="shared" si="56"/>
        <v>1.5721500000000002</v>
      </c>
      <c r="F127" s="21">
        <v>5.0000000000000001E-4</v>
      </c>
      <c r="G127" s="33">
        <f>+$I$97*$B$100</f>
        <v>3059.4039000000002</v>
      </c>
      <c r="H127" s="49">
        <f t="shared" si="57"/>
        <v>1.5297019500000002</v>
      </c>
      <c r="I127" s="18">
        <f t="shared" si="58"/>
        <v>-4.2448049999999959E-2</v>
      </c>
      <c r="J127" s="19">
        <f t="shared" si="59"/>
        <v>-2.6999999999999972E-2</v>
      </c>
    </row>
    <row r="128" spans="1:10" x14ac:dyDescent="0.3">
      <c r="A128" s="50" t="s">
        <v>39</v>
      </c>
      <c r="B128" s="12"/>
      <c r="C128" s="37">
        <v>0.25</v>
      </c>
      <c r="D128" s="14">
        <v>1</v>
      </c>
      <c r="E128" s="49">
        <f t="shared" si="56"/>
        <v>0.25</v>
      </c>
      <c r="F128" s="38">
        <v>0.25</v>
      </c>
      <c r="G128" s="17">
        <v>1</v>
      </c>
      <c r="H128" s="49">
        <f t="shared" si="57"/>
        <v>0.25</v>
      </c>
      <c r="I128" s="18">
        <f t="shared" si="58"/>
        <v>0</v>
      </c>
      <c r="J128" s="19">
        <f t="shared" si="59"/>
        <v>0</v>
      </c>
    </row>
    <row r="129" spans="1:10" ht="26.4" x14ac:dyDescent="0.3">
      <c r="A129" s="48" t="s">
        <v>40</v>
      </c>
      <c r="B129" s="12"/>
      <c r="C129" s="20"/>
      <c r="D129" s="33"/>
      <c r="E129" s="49">
        <f t="shared" si="56"/>
        <v>0</v>
      </c>
      <c r="F129" s="21"/>
      <c r="G129" s="33"/>
      <c r="H129" s="49">
        <f t="shared" si="57"/>
        <v>0</v>
      </c>
      <c r="I129" s="18">
        <f t="shared" si="58"/>
        <v>0</v>
      </c>
      <c r="J129" s="19" t="str">
        <f t="shared" si="59"/>
        <v/>
      </c>
    </row>
    <row r="130" spans="1:10" x14ac:dyDescent="0.3">
      <c r="A130" s="51" t="s">
        <v>41</v>
      </c>
      <c r="B130" s="12"/>
      <c r="C130" s="52">
        <f>C36</f>
        <v>0.10100000000000001</v>
      </c>
      <c r="D130" s="53">
        <f>IF(AND(B97*12&gt;=150000),0.65*B97*B99,0.65*B97)</f>
        <v>1950</v>
      </c>
      <c r="E130" s="49">
        <f t="shared" si="56"/>
        <v>196.95000000000002</v>
      </c>
      <c r="F130" s="54">
        <f>C130</f>
        <v>0.10100000000000001</v>
      </c>
      <c r="G130" s="53">
        <f>IF(AND(I97*12&gt;=150000),0.65*I97*B100,0.65*I97)</f>
        <v>1897.3500000000001</v>
      </c>
      <c r="H130" s="49">
        <f t="shared" si="57"/>
        <v>191.63235000000003</v>
      </c>
      <c r="I130" s="18">
        <f t="shared" si="58"/>
        <v>-5.3176499999999862</v>
      </c>
      <c r="J130" s="19">
        <f t="shared" si="59"/>
        <v>-2.6999999999999927E-2</v>
      </c>
    </row>
    <row r="131" spans="1:10" x14ac:dyDescent="0.3">
      <c r="A131" s="51" t="s">
        <v>42</v>
      </c>
      <c r="B131" s="12"/>
      <c r="C131" s="52">
        <f t="shared" ref="C131:C132" si="60">C37</f>
        <v>0.14399999999999999</v>
      </c>
      <c r="D131" s="53">
        <f>IF(AND(B97*12&gt;=150000),0.17*B97*B99,0.17*B97)</f>
        <v>510.00000000000006</v>
      </c>
      <c r="E131" s="49">
        <f t="shared" si="56"/>
        <v>73.44</v>
      </c>
      <c r="F131" s="54">
        <f t="shared" ref="F131:F132" si="61">C131</f>
        <v>0.14399999999999999</v>
      </c>
      <c r="G131" s="53">
        <f>IF(AND(I97*12&gt;=150000),0.17*I97*B100,0.17*I97)</f>
        <v>496.23</v>
      </c>
      <c r="H131" s="49">
        <f t="shared" si="57"/>
        <v>71.457120000000003</v>
      </c>
      <c r="I131" s="18">
        <f t="shared" si="58"/>
        <v>-1.9828799999999944</v>
      </c>
      <c r="J131" s="19">
        <f t="shared" si="59"/>
        <v>-2.6999999999999923E-2</v>
      </c>
    </row>
    <row r="132" spans="1:10" ht="15" thickBot="1" x14ac:dyDescent="0.35">
      <c r="A132" s="3" t="s">
        <v>43</v>
      </c>
      <c r="B132" s="12"/>
      <c r="C132" s="52">
        <f t="shared" si="60"/>
        <v>0.20799999999999999</v>
      </c>
      <c r="D132" s="53">
        <f>IF(AND(B97*12&gt;=150000),0.18*B97*B99,0.18*B97)</f>
        <v>540</v>
      </c>
      <c r="E132" s="49">
        <f t="shared" si="56"/>
        <v>112.32</v>
      </c>
      <c r="F132" s="54">
        <f t="shared" si="61"/>
        <v>0.20799999999999999</v>
      </c>
      <c r="G132" s="53">
        <f>IF(AND(I97*12&gt;=150000),0.18*I97*B100,0.18*I97)</f>
        <v>525.41999999999996</v>
      </c>
      <c r="H132" s="49">
        <f t="shared" si="57"/>
        <v>109.28735999999999</v>
      </c>
      <c r="I132" s="18">
        <f t="shared" si="58"/>
        <v>-3.0326400000000007</v>
      </c>
      <c r="J132" s="19">
        <f t="shared" si="59"/>
        <v>-2.7000000000000007E-2</v>
      </c>
    </row>
    <row r="133" spans="1:10" hidden="1" x14ac:dyDescent="0.3">
      <c r="A133" s="51" t="s">
        <v>44</v>
      </c>
      <c r="B133" s="12"/>
      <c r="C133" s="55">
        <v>0.1101</v>
      </c>
      <c r="D133" s="53">
        <f t="shared" ref="D133:D134" si="62">IF($B$4&gt;0,$B$4,$B$3)</f>
        <v>2000</v>
      </c>
      <c r="E133" s="49">
        <f t="shared" si="56"/>
        <v>220.20000000000002</v>
      </c>
      <c r="F133" s="56">
        <v>0.1101</v>
      </c>
      <c r="G133" s="53">
        <f t="shared" ref="G133:G134" si="63">+$I$3</f>
        <v>1946</v>
      </c>
      <c r="H133" s="49">
        <f t="shared" si="57"/>
        <v>214.25460000000001</v>
      </c>
      <c r="I133" s="18">
        <f t="shared" si="58"/>
        <v>-5.9454000000000065</v>
      </c>
      <c r="J133" s="19">
        <f t="shared" si="59"/>
        <v>-2.7000000000000027E-2</v>
      </c>
    </row>
    <row r="134" spans="1:10" ht="15" hidden="1" thickBot="1" x14ac:dyDescent="0.35">
      <c r="A134" s="51" t="s">
        <v>45</v>
      </c>
      <c r="B134" s="12"/>
      <c r="C134" s="55">
        <v>0.1101</v>
      </c>
      <c r="D134" s="53">
        <f t="shared" si="62"/>
        <v>2000</v>
      </c>
      <c r="E134" s="49">
        <f t="shared" si="56"/>
        <v>220.20000000000002</v>
      </c>
      <c r="F134" s="56">
        <v>0.1101</v>
      </c>
      <c r="G134" s="53">
        <f t="shared" si="63"/>
        <v>1946</v>
      </c>
      <c r="H134" s="49">
        <f t="shared" si="57"/>
        <v>214.25460000000001</v>
      </c>
      <c r="I134" s="18">
        <f t="shared" si="58"/>
        <v>-5.9454000000000065</v>
      </c>
      <c r="J134" s="19">
        <f t="shared" si="59"/>
        <v>-2.7000000000000027E-2</v>
      </c>
    </row>
    <row r="135" spans="1:10" ht="15" thickBot="1" x14ac:dyDescent="0.35">
      <c r="A135" s="57"/>
      <c r="B135" s="58"/>
      <c r="C135" s="59"/>
      <c r="D135" s="60"/>
      <c r="E135" s="61"/>
      <c r="F135" s="59"/>
      <c r="G135" s="62"/>
      <c r="H135" s="61"/>
      <c r="I135" s="63"/>
      <c r="J135" s="64"/>
    </row>
    <row r="136" spans="1:10" x14ac:dyDescent="0.3">
      <c r="A136" s="65" t="s">
        <v>46</v>
      </c>
      <c r="B136" s="50"/>
      <c r="C136" s="66"/>
      <c r="D136" s="67"/>
      <c r="E136" s="68">
        <f>SUM(E125:E132)</f>
        <v>532.10454000000004</v>
      </c>
      <c r="F136" s="69"/>
      <c r="G136" s="69"/>
      <c r="H136" s="68">
        <f>SUM(H125:H132)</f>
        <v>524.35919732000013</v>
      </c>
      <c r="I136" s="70">
        <f>SUM(I125:I132)</f>
        <v>-7.7453426799999896</v>
      </c>
      <c r="J136" s="71">
        <f t="shared" ref="J136:J137" si="64">IF((E136)=0,"",(I136/E136))</f>
        <v>-1.4556054492600249E-2</v>
      </c>
    </row>
    <row r="137" spans="1:10" x14ac:dyDescent="0.3">
      <c r="A137" s="72" t="s">
        <v>47</v>
      </c>
      <c r="B137" s="50"/>
      <c r="C137" s="66">
        <v>0.13</v>
      </c>
      <c r="D137" s="73"/>
      <c r="E137" s="74">
        <f>+E136*C137</f>
        <v>69.173590200000007</v>
      </c>
      <c r="F137" s="75">
        <v>0.13</v>
      </c>
      <c r="G137" s="14"/>
      <c r="H137" s="74">
        <f>+H136*F137</f>
        <v>68.166695651600023</v>
      </c>
      <c r="I137" s="76">
        <f>+I136*F137</f>
        <v>-1.0068945483999987</v>
      </c>
      <c r="J137" s="77">
        <f t="shared" si="64"/>
        <v>-1.4556054492600249E-2</v>
      </c>
    </row>
    <row r="138" spans="1:10" x14ac:dyDescent="0.3">
      <c r="A138" s="72" t="s">
        <v>94</v>
      </c>
      <c r="B138" s="50"/>
      <c r="C138" s="141">
        <f>C44</f>
        <v>0.318</v>
      </c>
      <c r="D138" s="73"/>
      <c r="E138" s="74">
        <f>+E136*-C138</f>
        <v>-169.20924372000002</v>
      </c>
      <c r="F138" s="141">
        <f>C138</f>
        <v>0.318</v>
      </c>
      <c r="G138" s="14"/>
      <c r="H138" s="74">
        <f>+F138*-H136</f>
        <v>-166.74622474776004</v>
      </c>
      <c r="I138" s="76">
        <f>+F138*-I136</f>
        <v>2.4630189722399969</v>
      </c>
      <c r="J138" s="77"/>
    </row>
    <row r="139" spans="1:10" ht="15" thickBot="1" x14ac:dyDescent="0.35">
      <c r="A139" s="212" t="s">
        <v>48</v>
      </c>
      <c r="B139" s="212"/>
      <c r="C139" s="78"/>
      <c r="D139" s="79"/>
      <c r="E139" s="80">
        <f>+E136+E137+E138</f>
        <v>432.06888648000006</v>
      </c>
      <c r="F139" s="81"/>
      <c r="G139" s="81"/>
      <c r="H139" s="82">
        <f>+H136+H137+H138</f>
        <v>425.77966822384008</v>
      </c>
      <c r="I139" s="83">
        <f>+I136+I137+I138</f>
        <v>-6.289218256159991</v>
      </c>
      <c r="J139" s="84">
        <f>IF((E139)=0,"",(I139/E139))</f>
        <v>-1.4556054492600248E-2</v>
      </c>
    </row>
    <row r="140" spans="1:10" ht="15" thickBot="1" x14ac:dyDescent="0.35">
      <c r="A140" s="57"/>
      <c r="B140" s="58"/>
      <c r="C140" s="59"/>
      <c r="D140" s="60"/>
      <c r="E140" s="61"/>
      <c r="F140" s="59"/>
      <c r="G140" s="62"/>
      <c r="H140" s="61"/>
      <c r="I140" s="63"/>
      <c r="J140" s="64"/>
    </row>
  </sheetData>
  <mergeCells count="27">
    <mergeCell ref="A139:B139"/>
    <mergeCell ref="B96:D96"/>
    <mergeCell ref="C102:E102"/>
    <mergeCell ref="F102:H102"/>
    <mergeCell ref="I102:J102"/>
    <mergeCell ref="B103:B104"/>
    <mergeCell ref="I103:I104"/>
    <mergeCell ref="J103:J104"/>
    <mergeCell ref="B56:B57"/>
    <mergeCell ref="I56:I57"/>
    <mergeCell ref="J56:J57"/>
    <mergeCell ref="A92:B92"/>
    <mergeCell ref="B95:G95"/>
    <mergeCell ref="B48:G48"/>
    <mergeCell ref="B49:D49"/>
    <mergeCell ref="C55:E55"/>
    <mergeCell ref="F55:H55"/>
    <mergeCell ref="I55:J55"/>
    <mergeCell ref="B9:B10"/>
    <mergeCell ref="I9:I10"/>
    <mergeCell ref="J9:J10"/>
    <mergeCell ref="A45:B45"/>
    <mergeCell ref="B1:G1"/>
    <mergeCell ref="B2:D2"/>
    <mergeCell ref="C8:E8"/>
    <mergeCell ref="F8:H8"/>
    <mergeCell ref="I8:J8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4"/>
  <sheetViews>
    <sheetView zoomScale="85" zoomScaleNormal="85" workbookViewId="0">
      <selection activeCell="F40" sqref="F40"/>
    </sheetView>
  </sheetViews>
  <sheetFormatPr defaultRowHeight="14.4" x14ac:dyDescent="0.3"/>
  <cols>
    <col min="1" max="1" width="39.6640625" customWidth="1"/>
    <col min="2" max="2" width="9" bestFit="1" customWidth="1"/>
    <col min="3" max="3" width="9.6640625" customWidth="1"/>
    <col min="4" max="4" width="9" customWidth="1"/>
    <col min="5" max="5" width="18.6640625" customWidth="1"/>
    <col min="6" max="6" width="10.109375" customWidth="1"/>
    <col min="7" max="7" width="16" customWidth="1"/>
    <col min="8" max="8" width="13.44140625" customWidth="1"/>
    <col min="9" max="9" width="12.6640625" customWidth="1"/>
    <col min="10" max="10" width="13.109375" customWidth="1"/>
  </cols>
  <sheetData>
    <row r="1" spans="1:10" x14ac:dyDescent="0.3">
      <c r="A1" s="1" t="s">
        <v>0</v>
      </c>
      <c r="B1" s="213" t="s">
        <v>52</v>
      </c>
      <c r="C1" s="200"/>
      <c r="D1" s="200"/>
      <c r="E1" s="200"/>
      <c r="F1" s="200"/>
      <c r="G1" s="200"/>
      <c r="H1" s="2" t="s">
        <v>2</v>
      </c>
      <c r="I1" s="2"/>
      <c r="J1" s="2"/>
    </row>
    <row r="2" spans="1:10" x14ac:dyDescent="0.3">
      <c r="A2" s="85" t="s">
        <v>3</v>
      </c>
      <c r="B2" s="201" t="s">
        <v>53</v>
      </c>
      <c r="C2" s="201"/>
      <c r="D2" s="201"/>
      <c r="E2" s="86"/>
      <c r="F2" s="86"/>
      <c r="G2" s="87"/>
      <c r="H2" s="87"/>
      <c r="I2" s="87"/>
      <c r="J2" s="87"/>
    </row>
    <row r="3" spans="1:10" ht="16.2" thickBot="1" x14ac:dyDescent="0.35">
      <c r="A3" s="85" t="s">
        <v>5</v>
      </c>
      <c r="B3" s="134">
        <v>19740</v>
      </c>
      <c r="C3" s="127" t="s">
        <v>91</v>
      </c>
      <c r="D3" s="90"/>
      <c r="E3" s="98" t="s">
        <v>49</v>
      </c>
      <c r="F3" s="96">
        <f>Residential!F3</f>
        <v>2.7E-2</v>
      </c>
      <c r="G3" s="91"/>
      <c r="H3" s="97" t="s">
        <v>50</v>
      </c>
      <c r="I3" s="99">
        <f>B4*(1-F3)</f>
        <v>53.515000000000001</v>
      </c>
      <c r="J3" s="91"/>
    </row>
    <row r="4" spans="1:10" ht="16.2" thickBot="1" x14ac:dyDescent="0.35">
      <c r="A4" s="85" t="s">
        <v>7</v>
      </c>
      <c r="B4" s="135">
        <v>55</v>
      </c>
      <c r="C4" s="128" t="s">
        <v>92</v>
      </c>
      <c r="D4" s="93"/>
      <c r="E4" s="94"/>
      <c r="F4" s="94"/>
      <c r="G4" s="91"/>
      <c r="H4" s="97" t="s">
        <v>50</v>
      </c>
      <c r="I4" s="99">
        <f>B3*(1-F3)</f>
        <v>19207.02</v>
      </c>
      <c r="J4" s="87"/>
    </row>
    <row r="5" spans="1:10" x14ac:dyDescent="0.3">
      <c r="A5" s="85" t="s">
        <v>9</v>
      </c>
      <c r="B5" s="95">
        <v>1.0481</v>
      </c>
      <c r="C5" s="87"/>
      <c r="D5" s="87"/>
      <c r="E5" s="87" t="s">
        <v>98</v>
      </c>
      <c r="F5" s="96">
        <f>Residential!F5</f>
        <v>1.9E-2</v>
      </c>
      <c r="G5" s="87"/>
      <c r="H5" s="87"/>
      <c r="I5" s="142"/>
      <c r="J5" s="87"/>
    </row>
    <row r="6" spans="1:10" x14ac:dyDescent="0.3">
      <c r="A6" s="1" t="s">
        <v>10</v>
      </c>
      <c r="B6" s="4">
        <v>1.0481</v>
      </c>
      <c r="C6" s="2"/>
      <c r="D6" s="119"/>
      <c r="E6" s="2"/>
      <c r="F6" s="2"/>
      <c r="G6" s="2"/>
      <c r="H6" s="2"/>
      <c r="I6" s="2"/>
      <c r="J6" s="2"/>
    </row>
    <row r="7" spans="1:10" x14ac:dyDescent="0.3">
      <c r="A7" s="3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3"/>
      <c r="B8" s="5"/>
      <c r="C8" s="202" t="s">
        <v>95</v>
      </c>
      <c r="D8" s="203"/>
      <c r="E8" s="204"/>
      <c r="F8" s="205" t="s">
        <v>54</v>
      </c>
      <c r="G8" s="203"/>
      <c r="H8" s="204"/>
      <c r="I8" s="202" t="s">
        <v>11</v>
      </c>
      <c r="J8" s="204"/>
    </row>
    <row r="9" spans="1:10" x14ac:dyDescent="0.3">
      <c r="A9" s="3"/>
      <c r="B9" s="206"/>
      <c r="C9" s="6" t="s">
        <v>12</v>
      </c>
      <c r="D9" s="6" t="s">
        <v>13</v>
      </c>
      <c r="E9" s="7" t="s">
        <v>14</v>
      </c>
      <c r="F9" s="6" t="s">
        <v>12</v>
      </c>
      <c r="G9" s="8" t="s">
        <v>13</v>
      </c>
      <c r="H9" s="7" t="s">
        <v>14</v>
      </c>
      <c r="I9" s="208" t="s">
        <v>15</v>
      </c>
      <c r="J9" s="210" t="s">
        <v>16</v>
      </c>
    </row>
    <row r="10" spans="1:10" x14ac:dyDescent="0.3">
      <c r="A10" s="3"/>
      <c r="B10" s="207"/>
      <c r="C10" s="9" t="s">
        <v>17</v>
      </c>
      <c r="D10" s="9"/>
      <c r="E10" s="10" t="s">
        <v>17</v>
      </c>
      <c r="F10" s="9" t="s">
        <v>17</v>
      </c>
      <c r="G10" s="10"/>
      <c r="H10" s="10" t="s">
        <v>17</v>
      </c>
      <c r="I10" s="209"/>
      <c r="J10" s="211"/>
    </row>
    <row r="11" spans="1:10" x14ac:dyDescent="0.3">
      <c r="A11" s="11" t="s">
        <v>18</v>
      </c>
      <c r="B11" s="12"/>
      <c r="C11" s="13">
        <f>Rates!E19</f>
        <v>119.45</v>
      </c>
      <c r="D11" s="14">
        <v>1</v>
      </c>
      <c r="E11" s="15">
        <f>C11*D11</f>
        <v>119.45</v>
      </c>
      <c r="F11" s="16">
        <f>C11*(1+F5)</f>
        <v>121.71955</v>
      </c>
      <c r="G11" s="17">
        <v>1</v>
      </c>
      <c r="H11" s="15">
        <f>F11*G11</f>
        <v>121.71955</v>
      </c>
      <c r="I11" s="18">
        <f>+H11-E11</f>
        <v>2.2695499999999953</v>
      </c>
      <c r="J11" s="19">
        <f>IF(ISERROR(I11/E11),"",I11/E11)</f>
        <v>1.8999999999999961E-2</v>
      </c>
    </row>
    <row r="12" spans="1:10" x14ac:dyDescent="0.3">
      <c r="A12" s="11" t="s">
        <v>19</v>
      </c>
      <c r="B12" s="12"/>
      <c r="C12" s="20">
        <f>Rates!F19</f>
        <v>7.0229999999999997</v>
      </c>
      <c r="D12" s="14">
        <f>IF($B$4&gt;0,$B$4,$B$3)</f>
        <v>55</v>
      </c>
      <c r="E12" s="15">
        <f t="shared" ref="E12:E15" si="0">C12*D12</f>
        <v>386.26499999999999</v>
      </c>
      <c r="F12" s="21">
        <f>C12*(1+F5)</f>
        <v>7.1564369999999986</v>
      </c>
      <c r="G12" s="100">
        <f>+$I$3</f>
        <v>53.515000000000001</v>
      </c>
      <c r="H12" s="15">
        <f t="shared" ref="H12:H15" si="1">F12*G12</f>
        <v>382.97672605499992</v>
      </c>
      <c r="I12" s="18">
        <f t="shared" ref="I12:I40" si="2">+H12-E12</f>
        <v>-3.2882739450000713</v>
      </c>
      <c r="J12" s="19">
        <f t="shared" ref="J12:J40" si="3">IF(ISERROR(I12/E12),"",I12/E12)</f>
        <v>-8.5130000000001853E-3</v>
      </c>
    </row>
    <row r="13" spans="1:10" hidden="1" x14ac:dyDescent="0.3">
      <c r="A13" s="11" t="s">
        <v>20</v>
      </c>
      <c r="B13" s="12"/>
      <c r="C13" s="20">
        <v>0</v>
      </c>
      <c r="D13" s="14">
        <f>IF($B$4&gt;0,$B$4,$B$3)</f>
        <v>55</v>
      </c>
      <c r="E13" s="15">
        <f t="shared" si="0"/>
        <v>0</v>
      </c>
      <c r="F13" s="21"/>
      <c r="G13" s="100">
        <f>+$I$3</f>
        <v>53.515000000000001</v>
      </c>
      <c r="H13" s="15">
        <f t="shared" si="1"/>
        <v>0</v>
      </c>
      <c r="I13" s="18">
        <f t="shared" si="2"/>
        <v>0</v>
      </c>
      <c r="J13" s="19" t="str">
        <f t="shared" si="3"/>
        <v/>
      </c>
    </row>
    <row r="14" spans="1:10" hidden="1" x14ac:dyDescent="0.3">
      <c r="A14" s="11" t="s">
        <v>21</v>
      </c>
      <c r="B14" s="12"/>
      <c r="C14" s="20">
        <v>0</v>
      </c>
      <c r="D14" s="14">
        <f>IF($B$4&gt;0,$B$4,$B$3)</f>
        <v>55</v>
      </c>
      <c r="E14" s="15">
        <f t="shared" si="0"/>
        <v>0</v>
      </c>
      <c r="F14" s="21"/>
      <c r="G14" s="100">
        <f>+$I$3</f>
        <v>53.515000000000001</v>
      </c>
      <c r="H14" s="15">
        <f t="shared" si="1"/>
        <v>0</v>
      </c>
      <c r="I14" s="18">
        <f t="shared" si="2"/>
        <v>0</v>
      </c>
      <c r="J14" s="19" t="str">
        <f t="shared" si="3"/>
        <v/>
      </c>
    </row>
    <row r="15" spans="1:10" x14ac:dyDescent="0.3">
      <c r="A15" s="22" t="s">
        <v>22</v>
      </c>
      <c r="B15" s="12"/>
      <c r="C15" s="13">
        <v>1.41</v>
      </c>
      <c r="D15" s="14">
        <v>1</v>
      </c>
      <c r="E15" s="15">
        <f t="shared" si="0"/>
        <v>1.41</v>
      </c>
      <c r="F15" s="16">
        <f>C15</f>
        <v>1.41</v>
      </c>
      <c r="G15" s="17">
        <v>1</v>
      </c>
      <c r="H15" s="15">
        <f t="shared" si="1"/>
        <v>1.41</v>
      </c>
      <c r="I15" s="18">
        <f t="shared" si="2"/>
        <v>0</v>
      </c>
      <c r="J15" s="19">
        <f t="shared" si="3"/>
        <v>0</v>
      </c>
    </row>
    <row r="16" spans="1:10" x14ac:dyDescent="0.3">
      <c r="A16" s="35" t="s">
        <v>80</v>
      </c>
      <c r="B16" s="12"/>
      <c r="C16" s="13">
        <v>0</v>
      </c>
      <c r="D16" s="14">
        <v>1</v>
      </c>
      <c r="E16" s="15">
        <f t="shared" ref="E16:E18" si="4">C16*D16</f>
        <v>0</v>
      </c>
      <c r="F16" s="16">
        <f>Rates!N7</f>
        <v>5.24</v>
      </c>
      <c r="G16" s="14">
        <v>1</v>
      </c>
      <c r="H16" s="15">
        <f t="shared" ref="H16:H18" si="5">F16*G16</f>
        <v>5.24</v>
      </c>
      <c r="I16" s="18">
        <f t="shared" ref="I16:I17" si="6">+H16-E16</f>
        <v>5.24</v>
      </c>
      <c r="J16" s="19" t="str">
        <f t="shared" ref="J16:J17" si="7">IF(ISERROR(I16/E16),"",I16/E16)</f>
        <v/>
      </c>
    </row>
    <row r="17" spans="1:10" x14ac:dyDescent="0.3">
      <c r="A17" s="35" t="s">
        <v>81</v>
      </c>
      <c r="B17" s="12"/>
      <c r="C17" s="20">
        <v>0</v>
      </c>
      <c r="D17" s="34">
        <f>IF($B$4&gt;0,$B$4,$B$3)</f>
        <v>55</v>
      </c>
      <c r="E17" s="15">
        <f t="shared" si="4"/>
        <v>0</v>
      </c>
      <c r="F17" s="21">
        <f>Rates!P7</f>
        <v>0.30819999999999997</v>
      </c>
      <c r="G17" s="100">
        <f>+$I$3</f>
        <v>53.515000000000001</v>
      </c>
      <c r="H17" s="15">
        <f t="shared" si="5"/>
        <v>16.493323</v>
      </c>
      <c r="I17" s="18">
        <f t="shared" si="6"/>
        <v>16.493323</v>
      </c>
      <c r="J17" s="19" t="str">
        <f t="shared" si="7"/>
        <v/>
      </c>
    </row>
    <row r="18" spans="1:10" x14ac:dyDescent="0.3">
      <c r="A18" s="22" t="s">
        <v>23</v>
      </c>
      <c r="B18" s="143"/>
      <c r="C18" s="52">
        <v>8.3199999999999996E-2</v>
      </c>
      <c r="D18" s="14">
        <f>IF($B$4&gt;0,$B$4,$B$3)</f>
        <v>55</v>
      </c>
      <c r="E18" s="144">
        <f t="shared" si="4"/>
        <v>4.5759999999999996</v>
      </c>
      <c r="F18" s="54">
        <f>C18</f>
        <v>8.3199999999999996E-2</v>
      </c>
      <c r="G18" s="100">
        <f>+$I$3</f>
        <v>53.515000000000001</v>
      </c>
      <c r="H18" s="144">
        <f t="shared" si="5"/>
        <v>4.4524479999999995</v>
      </c>
      <c r="I18" s="76">
        <f t="shared" si="2"/>
        <v>-0.12355200000000011</v>
      </c>
      <c r="J18" s="145">
        <f t="shared" si="3"/>
        <v>-2.7000000000000024E-2</v>
      </c>
    </row>
    <row r="19" spans="1:10" x14ac:dyDescent="0.3">
      <c r="A19" s="23" t="s">
        <v>24</v>
      </c>
      <c r="B19" s="24"/>
      <c r="C19" s="25"/>
      <c r="D19" s="26"/>
      <c r="E19" s="27">
        <f>SUM(E11:E18)</f>
        <v>511.70100000000002</v>
      </c>
      <c r="F19" s="28"/>
      <c r="G19" s="29"/>
      <c r="H19" s="27">
        <f>SUM(H11:H18)</f>
        <v>532.2920470549999</v>
      </c>
      <c r="I19" s="30">
        <f>SUM(I11:I18)</f>
        <v>20.591047054999922</v>
      </c>
      <c r="J19" s="31">
        <f>IF((E19)=0,"",(I19/E19))</f>
        <v>4.024038853744652E-2</v>
      </c>
    </row>
    <row r="20" spans="1:10" x14ac:dyDescent="0.3">
      <c r="A20" s="32" t="s">
        <v>25</v>
      </c>
      <c r="B20" s="12"/>
      <c r="C20" s="20">
        <v>0</v>
      </c>
      <c r="D20" s="33">
        <f>IF(C20=0,0,$B$3*B5-B3)</f>
        <v>0</v>
      </c>
      <c r="E20" s="15">
        <f>C20*D20</f>
        <v>0</v>
      </c>
      <c r="F20" s="21">
        <v>0</v>
      </c>
      <c r="G20" s="33">
        <f>IF(F20=0,0,$I$3*B6-I3)</f>
        <v>0</v>
      </c>
      <c r="H20" s="15">
        <f t="shared" ref="H20:H27" si="8">F20*G20</f>
        <v>0</v>
      </c>
      <c r="I20" s="18">
        <f t="shared" si="2"/>
        <v>0</v>
      </c>
      <c r="J20" s="19" t="str">
        <f t="shared" si="3"/>
        <v/>
      </c>
    </row>
    <row r="21" spans="1:10" x14ac:dyDescent="0.3">
      <c r="A21" s="32" t="s">
        <v>26</v>
      </c>
      <c r="B21" s="143"/>
      <c r="C21" s="52">
        <v>0</v>
      </c>
      <c r="D21" s="34">
        <f t="shared" ref="D21:D24" si="9">IF($B$4&gt;0,$B$4,$B$3)</f>
        <v>55</v>
      </c>
      <c r="E21" s="144">
        <v>0</v>
      </c>
      <c r="F21" s="54">
        <f>C21</f>
        <v>0</v>
      </c>
      <c r="G21" s="100">
        <f>+$I$3</f>
        <v>53.515000000000001</v>
      </c>
      <c r="H21" s="144">
        <v>0</v>
      </c>
      <c r="I21" s="76">
        <f t="shared" si="2"/>
        <v>0</v>
      </c>
      <c r="J21" s="145" t="str">
        <f t="shared" si="3"/>
        <v/>
      </c>
    </row>
    <row r="22" spans="1:10" x14ac:dyDescent="0.3">
      <c r="A22" s="32" t="s">
        <v>27</v>
      </c>
      <c r="B22" s="12"/>
      <c r="C22" s="20">
        <v>0</v>
      </c>
      <c r="D22" s="34">
        <f t="shared" si="9"/>
        <v>55</v>
      </c>
      <c r="E22" s="15">
        <f t="shared" ref="E22:E27" si="10">C22*D22</f>
        <v>0</v>
      </c>
      <c r="F22" s="21">
        <v>0</v>
      </c>
      <c r="G22" s="100">
        <f>+$I$3</f>
        <v>53.515000000000001</v>
      </c>
      <c r="H22" s="15">
        <f t="shared" si="8"/>
        <v>0</v>
      </c>
      <c r="I22" s="18">
        <f t="shared" si="2"/>
        <v>0</v>
      </c>
      <c r="J22" s="19" t="str">
        <f t="shared" si="3"/>
        <v/>
      </c>
    </row>
    <row r="23" spans="1:10" x14ac:dyDescent="0.3">
      <c r="A23" s="32" t="s">
        <v>28</v>
      </c>
      <c r="B23" s="143"/>
      <c r="C23" s="52"/>
      <c r="D23" s="34">
        <f>+B3</f>
        <v>19740</v>
      </c>
      <c r="E23" s="144">
        <v>0</v>
      </c>
      <c r="F23" s="54">
        <f>C23</f>
        <v>0</v>
      </c>
      <c r="G23" s="100">
        <f>+I4</f>
        <v>19207.02</v>
      </c>
      <c r="H23" s="144">
        <v>0</v>
      </c>
      <c r="I23" s="76">
        <f t="shared" si="2"/>
        <v>0</v>
      </c>
      <c r="J23" s="145" t="str">
        <f t="shared" si="3"/>
        <v/>
      </c>
    </row>
    <row r="24" spans="1:10" hidden="1" x14ac:dyDescent="0.3">
      <c r="A24" s="35" t="s">
        <v>29</v>
      </c>
      <c r="B24" s="12"/>
      <c r="C24" s="20">
        <v>0</v>
      </c>
      <c r="D24" s="34">
        <f t="shared" si="9"/>
        <v>55</v>
      </c>
      <c r="E24" s="15">
        <f t="shared" si="10"/>
        <v>0</v>
      </c>
      <c r="F24" s="21"/>
      <c r="G24" s="100">
        <f>+$I$3</f>
        <v>53.515000000000001</v>
      </c>
      <c r="H24" s="15">
        <f t="shared" si="8"/>
        <v>0</v>
      </c>
      <c r="I24" s="18">
        <f t="shared" si="2"/>
        <v>0</v>
      </c>
      <c r="J24" s="19" t="str">
        <f t="shared" si="3"/>
        <v/>
      </c>
    </row>
    <row r="25" spans="1:10" hidden="1" x14ac:dyDescent="0.3">
      <c r="A25" s="36" t="s">
        <v>30</v>
      </c>
      <c r="B25" s="12"/>
      <c r="C25" s="37">
        <v>0</v>
      </c>
      <c r="D25" s="14">
        <v>1</v>
      </c>
      <c r="E25" s="15">
        <f t="shared" si="10"/>
        <v>0</v>
      </c>
      <c r="F25" s="38">
        <v>0</v>
      </c>
      <c r="G25" s="14">
        <v>1</v>
      </c>
      <c r="H25" s="15">
        <f t="shared" si="8"/>
        <v>0</v>
      </c>
      <c r="I25" s="18">
        <f t="shared" si="2"/>
        <v>0</v>
      </c>
      <c r="J25" s="19" t="str">
        <f t="shared" si="3"/>
        <v/>
      </c>
    </row>
    <row r="26" spans="1:10" hidden="1" x14ac:dyDescent="0.3">
      <c r="A26" s="35" t="s">
        <v>31</v>
      </c>
      <c r="B26" s="12"/>
      <c r="C26" s="13">
        <v>0</v>
      </c>
      <c r="D26" s="14">
        <v>1</v>
      </c>
      <c r="E26" s="15">
        <f t="shared" si="10"/>
        <v>0</v>
      </c>
      <c r="F26" s="16">
        <v>0</v>
      </c>
      <c r="G26" s="14">
        <v>1</v>
      </c>
      <c r="H26" s="15">
        <f t="shared" si="8"/>
        <v>0</v>
      </c>
      <c r="I26" s="18">
        <f t="shared" si="2"/>
        <v>0</v>
      </c>
      <c r="J26" s="19" t="str">
        <f t="shared" si="3"/>
        <v/>
      </c>
    </row>
    <row r="27" spans="1:10" x14ac:dyDescent="0.3">
      <c r="A27" s="35" t="s">
        <v>32</v>
      </c>
      <c r="B27" s="12"/>
      <c r="C27" s="20">
        <v>-4.0000000000000002E-4</v>
      </c>
      <c r="D27" s="34">
        <f>+B3</f>
        <v>19740</v>
      </c>
      <c r="E27" s="15">
        <f t="shared" si="10"/>
        <v>-7.8960000000000008</v>
      </c>
      <c r="F27" s="21">
        <f>C27</f>
        <v>-4.0000000000000002E-4</v>
      </c>
      <c r="G27" s="100">
        <f>I4</f>
        <v>19207.02</v>
      </c>
      <c r="H27" s="15">
        <f t="shared" si="8"/>
        <v>-7.6828080000000005</v>
      </c>
      <c r="I27" s="18">
        <f t="shared" si="2"/>
        <v>0.21319200000000027</v>
      </c>
      <c r="J27" s="19">
        <f t="shared" si="3"/>
        <v>-2.7000000000000031E-2</v>
      </c>
    </row>
    <row r="28" spans="1:10" ht="26.4" x14ac:dyDescent="0.3">
      <c r="A28" s="39" t="s">
        <v>33</v>
      </c>
      <c r="B28" s="40"/>
      <c r="C28" s="41"/>
      <c r="D28" s="147"/>
      <c r="E28" s="43">
        <f>SUM(E19:E27)</f>
        <v>503.80500000000001</v>
      </c>
      <c r="F28" s="44"/>
      <c r="G28" s="45"/>
      <c r="H28" s="43">
        <f>SUM(H19:H27)</f>
        <v>524.60923905499988</v>
      </c>
      <c r="I28" s="30">
        <f>SUM(I19:I27)</f>
        <v>20.804239054999922</v>
      </c>
      <c r="J28" s="31">
        <f>IF((E28)=0,"",(I28/E28))</f>
        <v>4.1294229027103585E-2</v>
      </c>
    </row>
    <row r="29" spans="1:10" x14ac:dyDescent="0.3">
      <c r="A29" s="46" t="s">
        <v>34</v>
      </c>
      <c r="B29" s="12"/>
      <c r="C29" s="20">
        <v>2.3582000000000001</v>
      </c>
      <c r="D29" s="33">
        <f>IF($B$4&gt;0,$B$4,$B$3*$B$5)</f>
        <v>55</v>
      </c>
      <c r="E29" s="15">
        <f t="shared" ref="E29:E30" si="11">C29*D29</f>
        <v>129.70099999999999</v>
      </c>
      <c r="F29" s="21">
        <f>C29</f>
        <v>2.3582000000000001</v>
      </c>
      <c r="G29" s="33">
        <f>IF($I$3&gt;0,$I$3,$B$3*$B$5)</f>
        <v>53.515000000000001</v>
      </c>
      <c r="H29" s="15">
        <f t="shared" ref="H29:H30" si="12">F29*G29</f>
        <v>126.199073</v>
      </c>
      <c r="I29" s="18">
        <f t="shared" si="2"/>
        <v>-3.5019269999999949</v>
      </c>
      <c r="J29" s="19">
        <f t="shared" si="3"/>
        <v>-2.6999999999999962E-2</v>
      </c>
    </row>
    <row r="30" spans="1:10" ht="26.4" x14ac:dyDescent="0.3">
      <c r="A30" s="47" t="s">
        <v>35</v>
      </c>
      <c r="B30" s="12"/>
      <c r="C30" s="20">
        <v>0</v>
      </c>
      <c r="D30" s="33">
        <f>IF($B$4&gt;0,$B$4,$B$3*$B$5)</f>
        <v>55</v>
      </c>
      <c r="E30" s="15">
        <f t="shared" si="11"/>
        <v>0</v>
      </c>
      <c r="F30" s="21">
        <v>0</v>
      </c>
      <c r="G30" s="33">
        <f>IF($I$3&gt;0,$I$3,$B$3*$B$5)</f>
        <v>53.515000000000001</v>
      </c>
      <c r="H30" s="15">
        <f t="shared" si="12"/>
        <v>0</v>
      </c>
      <c r="I30" s="18">
        <f t="shared" si="2"/>
        <v>0</v>
      </c>
      <c r="J30" s="19" t="str">
        <f t="shared" si="3"/>
        <v/>
      </c>
    </row>
    <row r="31" spans="1:10" ht="26.4" x14ac:dyDescent="0.3">
      <c r="A31" s="39" t="s">
        <v>36</v>
      </c>
      <c r="B31" s="24"/>
      <c r="C31" s="41"/>
      <c r="D31" s="42"/>
      <c r="E31" s="43">
        <f>SUM(E28:E30)</f>
        <v>633.50599999999997</v>
      </c>
      <c r="F31" s="44"/>
      <c r="G31" s="29"/>
      <c r="H31" s="43">
        <f>SUM(H28:H30)</f>
        <v>650.80831205499987</v>
      </c>
      <c r="I31" s="30">
        <f>SUM(I28:I30)</f>
        <v>17.302312054999927</v>
      </c>
      <c r="J31" s="31">
        <f>IF((E31)=0,"",(I31/E31))</f>
        <v>2.7311993974800441E-2</v>
      </c>
    </row>
    <row r="32" spans="1:10" x14ac:dyDescent="0.3">
      <c r="A32" s="48" t="s">
        <v>37</v>
      </c>
      <c r="B32" s="12"/>
      <c r="C32" s="20">
        <v>3.3999999999999998E-3</v>
      </c>
      <c r="D32" s="33">
        <f>+B3*B5</f>
        <v>20689.494000000002</v>
      </c>
      <c r="E32" s="49">
        <f t="shared" ref="E32:E40" si="13">C32*D32</f>
        <v>70.344279600000007</v>
      </c>
      <c r="F32" s="21">
        <v>3.3999999999999998E-3</v>
      </c>
      <c r="G32" s="33">
        <f>+$I$4*$B$6</f>
        <v>20130.877662000003</v>
      </c>
      <c r="H32" s="49">
        <f t="shared" ref="H32:H40" si="14">F32*G32</f>
        <v>68.444984050800002</v>
      </c>
      <c r="I32" s="18">
        <f t="shared" si="2"/>
        <v>-1.899295549200005</v>
      </c>
      <c r="J32" s="19">
        <f t="shared" si="3"/>
        <v>-2.7000000000000069E-2</v>
      </c>
    </row>
    <row r="33" spans="1:10" x14ac:dyDescent="0.3">
      <c r="A33" s="48" t="s">
        <v>38</v>
      </c>
      <c r="B33" s="12"/>
      <c r="C33" s="20">
        <v>5.0000000000000001E-4</v>
      </c>
      <c r="D33" s="33">
        <f>+B3*B5</f>
        <v>20689.494000000002</v>
      </c>
      <c r="E33" s="49">
        <f t="shared" si="13"/>
        <v>10.344747000000002</v>
      </c>
      <c r="F33" s="21">
        <v>5.0000000000000001E-4</v>
      </c>
      <c r="G33" s="33">
        <f>+$I$4*$B$6</f>
        <v>20130.877662000003</v>
      </c>
      <c r="H33" s="49">
        <f t="shared" si="14"/>
        <v>10.065438831000002</v>
      </c>
      <c r="I33" s="18">
        <f t="shared" si="2"/>
        <v>-0.27930816900000011</v>
      </c>
      <c r="J33" s="19">
        <f t="shared" si="3"/>
        <v>-2.7000000000000007E-2</v>
      </c>
    </row>
    <row r="34" spans="1:10" x14ac:dyDescent="0.3">
      <c r="A34" s="50" t="s">
        <v>39</v>
      </c>
      <c r="B34" s="12"/>
      <c r="C34" s="37">
        <v>0.25</v>
      </c>
      <c r="D34" s="14">
        <v>1</v>
      </c>
      <c r="E34" s="49">
        <f t="shared" si="13"/>
        <v>0.25</v>
      </c>
      <c r="F34" s="38">
        <v>0.25</v>
      </c>
      <c r="G34" s="17">
        <v>1</v>
      </c>
      <c r="H34" s="49">
        <f t="shared" si="14"/>
        <v>0.25</v>
      </c>
      <c r="I34" s="18">
        <f t="shared" si="2"/>
        <v>0</v>
      </c>
      <c r="J34" s="19">
        <f t="shared" si="3"/>
        <v>0</v>
      </c>
    </row>
    <row r="35" spans="1:10" ht="26.4" x14ac:dyDescent="0.3">
      <c r="A35" s="48" t="s">
        <v>40</v>
      </c>
      <c r="B35" s="12"/>
      <c r="C35" s="20"/>
      <c r="D35" s="33"/>
      <c r="E35" s="49">
        <f t="shared" si="13"/>
        <v>0</v>
      </c>
      <c r="F35" s="21"/>
      <c r="G35" s="33"/>
      <c r="H35" s="49">
        <f t="shared" si="14"/>
        <v>0</v>
      </c>
      <c r="I35" s="18">
        <f t="shared" si="2"/>
        <v>0</v>
      </c>
      <c r="J35" s="19" t="str">
        <f t="shared" si="3"/>
        <v/>
      </c>
    </row>
    <row r="36" spans="1:10" x14ac:dyDescent="0.3">
      <c r="A36" s="51" t="s">
        <v>41</v>
      </c>
      <c r="B36" s="12"/>
      <c r="C36" s="52">
        <f>Residential!C35</f>
        <v>0.10100000000000001</v>
      </c>
      <c r="D36" s="53">
        <v>0</v>
      </c>
      <c r="E36" s="49">
        <f t="shared" si="13"/>
        <v>0</v>
      </c>
      <c r="F36" s="54">
        <f>C36</f>
        <v>0.10100000000000001</v>
      </c>
      <c r="G36" s="53">
        <v>0</v>
      </c>
      <c r="H36" s="49">
        <f t="shared" si="14"/>
        <v>0</v>
      </c>
      <c r="I36" s="18">
        <f t="shared" si="2"/>
        <v>0</v>
      </c>
      <c r="J36" s="19" t="str">
        <f t="shared" si="3"/>
        <v/>
      </c>
    </row>
    <row r="37" spans="1:10" x14ac:dyDescent="0.3">
      <c r="A37" s="51" t="s">
        <v>42</v>
      </c>
      <c r="B37" s="12"/>
      <c r="C37" s="52">
        <f>Residential!C36</f>
        <v>0.14399999999999999</v>
      </c>
      <c r="D37" s="53">
        <v>0</v>
      </c>
      <c r="E37" s="49">
        <f t="shared" si="13"/>
        <v>0</v>
      </c>
      <c r="F37" s="54">
        <f t="shared" ref="F37:F38" si="15">C37</f>
        <v>0.14399999999999999</v>
      </c>
      <c r="G37" s="53">
        <v>0</v>
      </c>
      <c r="H37" s="49">
        <f t="shared" si="14"/>
        <v>0</v>
      </c>
      <c r="I37" s="18">
        <f t="shared" si="2"/>
        <v>0</v>
      </c>
      <c r="J37" s="19" t="str">
        <f t="shared" si="3"/>
        <v/>
      </c>
    </row>
    <row r="38" spans="1:10" x14ac:dyDescent="0.3">
      <c r="A38" s="3" t="s">
        <v>43</v>
      </c>
      <c r="B38" s="12"/>
      <c r="C38" s="52">
        <f>Residential!C37</f>
        <v>0.20799999999999999</v>
      </c>
      <c r="D38" s="53">
        <v>0</v>
      </c>
      <c r="E38" s="49">
        <f t="shared" si="13"/>
        <v>0</v>
      </c>
      <c r="F38" s="54">
        <f t="shared" si="15"/>
        <v>0.20799999999999999</v>
      </c>
      <c r="G38" s="53">
        <v>0</v>
      </c>
      <c r="H38" s="49">
        <f t="shared" si="14"/>
        <v>0</v>
      </c>
      <c r="I38" s="18">
        <f t="shared" si="2"/>
        <v>0</v>
      </c>
      <c r="J38" s="19" t="str">
        <f t="shared" si="3"/>
        <v/>
      </c>
    </row>
    <row r="39" spans="1:10" hidden="1" x14ac:dyDescent="0.3">
      <c r="A39" s="51" t="s">
        <v>44</v>
      </c>
      <c r="B39" s="12"/>
      <c r="C39" s="55">
        <v>0.1101</v>
      </c>
      <c r="D39" s="53">
        <f t="shared" ref="D39" si="16">IF($B$4&gt;0,$B$4,$B$3)</f>
        <v>55</v>
      </c>
      <c r="E39" s="49">
        <f t="shared" si="13"/>
        <v>6.0555000000000003</v>
      </c>
      <c r="F39" s="56">
        <v>0.1101</v>
      </c>
      <c r="G39" s="53">
        <f t="shared" ref="G39" si="17">+$I$3</f>
        <v>53.515000000000001</v>
      </c>
      <c r="H39" s="49">
        <f t="shared" si="14"/>
        <v>5.8920015000000001</v>
      </c>
      <c r="I39" s="18">
        <f t="shared" si="2"/>
        <v>-0.16349850000000021</v>
      </c>
      <c r="J39" s="19">
        <f t="shared" si="3"/>
        <v>-2.7000000000000034E-2</v>
      </c>
    </row>
    <row r="40" spans="1:10" ht="15" thickBot="1" x14ac:dyDescent="0.35">
      <c r="A40" s="51" t="s">
        <v>45</v>
      </c>
      <c r="B40" s="12"/>
      <c r="C40" s="55">
        <v>0.1101</v>
      </c>
      <c r="D40" s="53">
        <f>+B3*B5</f>
        <v>20689.494000000002</v>
      </c>
      <c r="E40" s="49">
        <f t="shared" si="13"/>
        <v>2277.9132894000004</v>
      </c>
      <c r="F40" s="56">
        <f>C40</f>
        <v>0.1101</v>
      </c>
      <c r="G40" s="53">
        <f>+$I$4*B6</f>
        <v>20130.877662000003</v>
      </c>
      <c r="H40" s="49">
        <f t="shared" si="14"/>
        <v>2216.4096305862004</v>
      </c>
      <c r="I40" s="18">
        <f t="shared" si="2"/>
        <v>-61.50365881380003</v>
      </c>
      <c r="J40" s="19">
        <f t="shared" si="3"/>
        <v>-2.700000000000001E-2</v>
      </c>
    </row>
    <row r="41" spans="1:10" ht="15" thickBot="1" x14ac:dyDescent="0.35">
      <c r="A41" s="57"/>
      <c r="B41" s="58"/>
      <c r="C41" s="59"/>
      <c r="D41" s="60"/>
      <c r="E41" s="61"/>
      <c r="F41" s="59"/>
      <c r="G41" s="62"/>
      <c r="H41" s="61"/>
      <c r="I41" s="63"/>
      <c r="J41" s="64"/>
    </row>
    <row r="42" spans="1:10" x14ac:dyDescent="0.3">
      <c r="A42" s="65" t="s">
        <v>46</v>
      </c>
      <c r="B42" s="50"/>
      <c r="C42" s="66"/>
      <c r="D42" s="67"/>
      <c r="E42" s="68">
        <f>SUM(E40,E31:E38)</f>
        <v>2992.3583160000003</v>
      </c>
      <c r="F42" s="69"/>
      <c r="G42" s="69"/>
      <c r="H42" s="68">
        <f>SUM(H40,H31:H38)</f>
        <v>2945.9783655230003</v>
      </c>
      <c r="I42" s="68">
        <f>SUM(I40,I31:I38)</f>
        <v>-46.379950477000108</v>
      </c>
      <c r="J42" s="71">
        <f t="shared" ref="J42:J43" si="18">IF((E42)=0,"",(I42/E42))</f>
        <v>-1.549946416143036E-2</v>
      </c>
    </row>
    <row r="43" spans="1:10" x14ac:dyDescent="0.3">
      <c r="A43" s="72" t="s">
        <v>47</v>
      </c>
      <c r="B43" s="50"/>
      <c r="C43" s="66">
        <v>0.13</v>
      </c>
      <c r="D43" s="73"/>
      <c r="E43" s="74">
        <f>+E42*C43</f>
        <v>389.00658108000005</v>
      </c>
      <c r="F43" s="75">
        <v>0.13</v>
      </c>
      <c r="G43" s="14"/>
      <c r="H43" s="74">
        <f>+H42*F43</f>
        <v>382.97718751799005</v>
      </c>
      <c r="I43" s="76">
        <f>+I42*F43</f>
        <v>-6.0293935620100143</v>
      </c>
      <c r="J43" s="77">
        <f t="shared" si="18"/>
        <v>-1.549946416143036E-2</v>
      </c>
    </row>
    <row r="44" spans="1:10" x14ac:dyDescent="0.3">
      <c r="A44" s="72"/>
      <c r="B44" s="50"/>
      <c r="C44" s="66"/>
      <c r="D44" s="73"/>
      <c r="E44" s="74"/>
      <c r="F44" s="66"/>
      <c r="G44" s="14"/>
      <c r="H44" s="74"/>
      <c r="I44" s="76"/>
      <c r="J44" s="77"/>
    </row>
    <row r="45" spans="1:10" ht="15" thickBot="1" x14ac:dyDescent="0.35">
      <c r="A45" s="212" t="s">
        <v>48</v>
      </c>
      <c r="B45" s="212"/>
      <c r="C45" s="78"/>
      <c r="D45" s="79"/>
      <c r="E45" s="80">
        <f>+E42+E43+E44</f>
        <v>3381.3648970800004</v>
      </c>
      <c r="F45" s="81"/>
      <c r="G45" s="81"/>
      <c r="H45" s="82">
        <f>+H42+H43+H44</f>
        <v>3328.9555530409903</v>
      </c>
      <c r="I45" s="83">
        <f>+I42+I43+I44</f>
        <v>-52.409344039010122</v>
      </c>
      <c r="J45" s="84">
        <f>IF((E45)=0,"",(I45/E45))</f>
        <v>-1.549946416143036E-2</v>
      </c>
    </row>
    <row r="46" spans="1:10" ht="15" thickBot="1" x14ac:dyDescent="0.35">
      <c r="A46" s="57"/>
      <c r="B46" s="58"/>
      <c r="C46" s="59"/>
      <c r="D46" s="60"/>
      <c r="E46" s="61"/>
      <c r="F46" s="59"/>
      <c r="G46" s="62"/>
      <c r="H46" s="61"/>
      <c r="I46" s="63"/>
      <c r="J46" s="64"/>
    </row>
    <row r="48" spans="1:10" x14ac:dyDescent="0.3">
      <c r="A48" s="1" t="s">
        <v>0</v>
      </c>
      <c r="B48" s="213" t="s">
        <v>52</v>
      </c>
      <c r="C48" s="200"/>
      <c r="D48" s="200"/>
      <c r="E48" s="200"/>
      <c r="F48" s="200"/>
      <c r="G48" s="200"/>
      <c r="H48" s="2" t="s">
        <v>2</v>
      </c>
      <c r="I48" s="2"/>
      <c r="J48" s="2"/>
    </row>
    <row r="49" spans="1:10" x14ac:dyDescent="0.3">
      <c r="A49" s="85" t="s">
        <v>3</v>
      </c>
      <c r="B49" s="201" t="s">
        <v>53</v>
      </c>
      <c r="C49" s="201"/>
      <c r="D49" s="201"/>
      <c r="E49" s="86"/>
      <c r="F49" s="86"/>
      <c r="G49" s="87"/>
      <c r="H49" s="87"/>
      <c r="I49" s="87"/>
      <c r="J49" s="87"/>
    </row>
    <row r="50" spans="1:10" ht="16.2" thickBot="1" x14ac:dyDescent="0.35">
      <c r="A50" s="85" t="s">
        <v>5</v>
      </c>
      <c r="B50" s="134">
        <v>57220</v>
      </c>
      <c r="C50" s="127" t="s">
        <v>91</v>
      </c>
      <c r="D50" s="90"/>
      <c r="E50" s="98" t="s">
        <v>49</v>
      </c>
      <c r="F50" s="96">
        <f>F3</f>
        <v>2.7E-2</v>
      </c>
      <c r="G50" s="91"/>
      <c r="H50" s="97" t="s">
        <v>50</v>
      </c>
      <c r="I50" s="99">
        <f>B51*(1-F50)</f>
        <v>141.08500000000001</v>
      </c>
      <c r="J50" s="91"/>
    </row>
    <row r="51" spans="1:10" ht="16.2" thickBot="1" x14ac:dyDescent="0.35">
      <c r="A51" s="85" t="s">
        <v>7</v>
      </c>
      <c r="B51" s="135">
        <v>145</v>
      </c>
      <c r="C51" s="128" t="s">
        <v>92</v>
      </c>
      <c r="D51" s="93"/>
      <c r="E51" s="94"/>
      <c r="F51" s="94"/>
      <c r="G51" s="91"/>
      <c r="H51" s="97" t="s">
        <v>50</v>
      </c>
      <c r="I51" s="99">
        <f>B50*(1-F50)</f>
        <v>55675.06</v>
      </c>
      <c r="J51" s="87"/>
    </row>
    <row r="52" spans="1:10" x14ac:dyDescent="0.3">
      <c r="A52" s="85" t="s">
        <v>9</v>
      </c>
      <c r="B52" s="95">
        <v>1.0481</v>
      </c>
      <c r="C52" s="87"/>
      <c r="D52" s="87"/>
      <c r="E52" s="87" t="s">
        <v>98</v>
      </c>
      <c r="F52" s="96">
        <f>Residential!F5</f>
        <v>1.9E-2</v>
      </c>
      <c r="G52" s="87"/>
      <c r="H52" s="87"/>
      <c r="I52" s="142"/>
      <c r="J52" s="87"/>
    </row>
    <row r="53" spans="1:10" x14ac:dyDescent="0.3">
      <c r="A53" s="1" t="s">
        <v>10</v>
      </c>
      <c r="B53" s="4">
        <v>1.0481</v>
      </c>
      <c r="C53" s="2"/>
      <c r="D53" s="119"/>
      <c r="E53" s="2"/>
      <c r="F53" s="2"/>
      <c r="G53" s="2"/>
      <c r="H53" s="2"/>
      <c r="I53" s="2"/>
      <c r="J53" s="2"/>
    </row>
    <row r="54" spans="1:10" x14ac:dyDescent="0.3">
      <c r="A54" s="3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">
      <c r="A55" s="3"/>
      <c r="B55" s="5"/>
      <c r="C55" s="202" t="s">
        <v>95</v>
      </c>
      <c r="D55" s="203"/>
      <c r="E55" s="204"/>
      <c r="F55" s="205" t="s">
        <v>54</v>
      </c>
      <c r="G55" s="203"/>
      <c r="H55" s="204"/>
      <c r="I55" s="202" t="s">
        <v>11</v>
      </c>
      <c r="J55" s="204"/>
    </row>
    <row r="56" spans="1:10" x14ac:dyDescent="0.3">
      <c r="A56" s="3"/>
      <c r="B56" s="206"/>
      <c r="C56" s="6" t="s">
        <v>12</v>
      </c>
      <c r="D56" s="6" t="s">
        <v>13</v>
      </c>
      <c r="E56" s="7" t="s">
        <v>14</v>
      </c>
      <c r="F56" s="6" t="s">
        <v>12</v>
      </c>
      <c r="G56" s="8" t="s">
        <v>13</v>
      </c>
      <c r="H56" s="7" t="s">
        <v>14</v>
      </c>
      <c r="I56" s="208" t="s">
        <v>15</v>
      </c>
      <c r="J56" s="210" t="s">
        <v>16</v>
      </c>
    </row>
    <row r="57" spans="1:10" x14ac:dyDescent="0.3">
      <c r="A57" s="3"/>
      <c r="B57" s="207"/>
      <c r="C57" s="9" t="s">
        <v>17</v>
      </c>
      <c r="D57" s="9"/>
      <c r="E57" s="10" t="s">
        <v>17</v>
      </c>
      <c r="F57" s="9" t="s">
        <v>17</v>
      </c>
      <c r="G57" s="10"/>
      <c r="H57" s="10" t="s">
        <v>17</v>
      </c>
      <c r="I57" s="209"/>
      <c r="J57" s="211"/>
    </row>
    <row r="58" spans="1:10" x14ac:dyDescent="0.3">
      <c r="A58" s="11" t="s">
        <v>18</v>
      </c>
      <c r="B58" s="12"/>
      <c r="C58" s="13">
        <f>C11</f>
        <v>119.45</v>
      </c>
      <c r="D58" s="14">
        <v>1</v>
      </c>
      <c r="E58" s="15">
        <f>C58*D58</f>
        <v>119.45</v>
      </c>
      <c r="F58" s="16">
        <f>F11</f>
        <v>121.71955</v>
      </c>
      <c r="G58" s="17">
        <v>1</v>
      </c>
      <c r="H58" s="15">
        <f>F58*G58</f>
        <v>121.71955</v>
      </c>
      <c r="I58" s="18">
        <f>+H58-E58</f>
        <v>2.2695499999999953</v>
      </c>
      <c r="J58" s="19">
        <f>IF(ISERROR(I58/E58),"",I58/E58)</f>
        <v>1.8999999999999961E-2</v>
      </c>
    </row>
    <row r="59" spans="1:10" x14ac:dyDescent="0.3">
      <c r="A59" s="11" t="s">
        <v>19</v>
      </c>
      <c r="B59" s="12"/>
      <c r="C59" s="173">
        <f>C12</f>
        <v>7.0229999999999997</v>
      </c>
      <c r="D59" s="14">
        <f>IF($B$51&gt;0,$B$51,$B$50)</f>
        <v>145</v>
      </c>
      <c r="E59" s="15">
        <f t="shared" ref="E59:E65" si="19">C59*D59</f>
        <v>1018.3349999999999</v>
      </c>
      <c r="F59" s="172">
        <f>F12</f>
        <v>7.1564369999999986</v>
      </c>
      <c r="G59" s="100">
        <f>+$I$50</f>
        <v>141.08500000000001</v>
      </c>
      <c r="H59" s="15">
        <f t="shared" ref="H59:H65" si="20">F59*G59</f>
        <v>1009.6659141449999</v>
      </c>
      <c r="I59" s="18">
        <f t="shared" ref="I59:I65" si="21">+H59-E59</f>
        <v>-8.6690858550000485</v>
      </c>
      <c r="J59" s="19">
        <f t="shared" ref="J59:J65" si="22">IF(ISERROR(I59/E59),"",I59/E59)</f>
        <v>-8.5130000000000483E-3</v>
      </c>
    </row>
    <row r="60" spans="1:10" x14ac:dyDescent="0.3">
      <c r="A60" s="11" t="s">
        <v>20</v>
      </c>
      <c r="B60" s="12"/>
      <c r="C60" s="20">
        <v>0</v>
      </c>
      <c r="D60" s="14">
        <f>IF($B$51&gt;0,$B$51,$B$50)</f>
        <v>145</v>
      </c>
      <c r="E60" s="15">
        <f t="shared" si="19"/>
        <v>0</v>
      </c>
      <c r="F60" s="21"/>
      <c r="G60" s="100">
        <f>+$I$50</f>
        <v>141.08500000000001</v>
      </c>
      <c r="H60" s="15">
        <f t="shared" si="20"/>
        <v>0</v>
      </c>
      <c r="I60" s="18">
        <f t="shared" si="21"/>
        <v>0</v>
      </c>
      <c r="J60" s="19" t="str">
        <f t="shared" si="22"/>
        <v/>
      </c>
    </row>
    <row r="61" spans="1:10" x14ac:dyDescent="0.3">
      <c r="A61" s="11" t="s">
        <v>21</v>
      </c>
      <c r="B61" s="12"/>
      <c r="C61" s="20">
        <v>0</v>
      </c>
      <c r="D61" s="14">
        <f>IF($B$51&gt;0,$B$51,$B$50)</f>
        <v>145</v>
      </c>
      <c r="E61" s="15">
        <f t="shared" si="19"/>
        <v>0</v>
      </c>
      <c r="F61" s="21"/>
      <c r="G61" s="100">
        <f>+$I$50</f>
        <v>141.08500000000001</v>
      </c>
      <c r="H61" s="15">
        <f t="shared" si="20"/>
        <v>0</v>
      </c>
      <c r="I61" s="18">
        <f t="shared" si="21"/>
        <v>0</v>
      </c>
      <c r="J61" s="19" t="str">
        <f t="shared" si="22"/>
        <v/>
      </c>
    </row>
    <row r="62" spans="1:10" x14ac:dyDescent="0.3">
      <c r="A62" s="22" t="s">
        <v>22</v>
      </c>
      <c r="B62" s="12"/>
      <c r="C62" s="13">
        <v>1.41</v>
      </c>
      <c r="D62" s="14">
        <v>1</v>
      </c>
      <c r="E62" s="15">
        <f t="shared" si="19"/>
        <v>1.41</v>
      </c>
      <c r="F62" s="16">
        <f>C62</f>
        <v>1.41</v>
      </c>
      <c r="G62" s="17">
        <v>1</v>
      </c>
      <c r="H62" s="15">
        <f t="shared" si="20"/>
        <v>1.41</v>
      </c>
      <c r="I62" s="18">
        <f t="shared" si="21"/>
        <v>0</v>
      </c>
      <c r="J62" s="19">
        <f t="shared" si="22"/>
        <v>0</v>
      </c>
    </row>
    <row r="63" spans="1:10" x14ac:dyDescent="0.3">
      <c r="A63" s="35" t="s">
        <v>80</v>
      </c>
      <c r="B63" s="12"/>
      <c r="C63" s="13">
        <v>0</v>
      </c>
      <c r="D63" s="14">
        <v>1</v>
      </c>
      <c r="E63" s="15">
        <f t="shared" si="19"/>
        <v>0</v>
      </c>
      <c r="F63" s="16">
        <f>F16</f>
        <v>5.24</v>
      </c>
      <c r="G63" s="14">
        <v>1</v>
      </c>
      <c r="H63" s="15">
        <f t="shared" si="20"/>
        <v>5.24</v>
      </c>
      <c r="I63" s="18">
        <f t="shared" si="21"/>
        <v>5.24</v>
      </c>
      <c r="J63" s="19" t="str">
        <f t="shared" si="22"/>
        <v/>
      </c>
    </row>
    <row r="64" spans="1:10" x14ac:dyDescent="0.3">
      <c r="A64" s="35" t="s">
        <v>81</v>
      </c>
      <c r="B64" s="12"/>
      <c r="C64" s="20">
        <v>0</v>
      </c>
      <c r="D64" s="14">
        <f>IF($B$51&gt;0,$B$51,$B$50)</f>
        <v>145</v>
      </c>
      <c r="E64" s="15">
        <f t="shared" si="19"/>
        <v>0</v>
      </c>
      <c r="F64" s="16">
        <f>F17</f>
        <v>0.30819999999999997</v>
      </c>
      <c r="G64" s="100">
        <f>+$I$50</f>
        <v>141.08500000000001</v>
      </c>
      <c r="H64" s="15">
        <f t="shared" si="20"/>
        <v>43.482396999999999</v>
      </c>
      <c r="I64" s="18">
        <f t="shared" si="21"/>
        <v>43.482396999999999</v>
      </c>
      <c r="J64" s="19" t="str">
        <f t="shared" si="22"/>
        <v/>
      </c>
    </row>
    <row r="65" spans="1:10" x14ac:dyDescent="0.3">
      <c r="A65" s="22" t="s">
        <v>23</v>
      </c>
      <c r="B65" s="143"/>
      <c r="C65" s="52">
        <v>8.3199999999999996E-2</v>
      </c>
      <c r="D65" s="14">
        <f>IF($B$51&gt;0,$B$51,$B$50)</f>
        <v>145</v>
      </c>
      <c r="E65" s="144">
        <f t="shared" si="19"/>
        <v>12.064</v>
      </c>
      <c r="F65" s="54">
        <f>C65</f>
        <v>8.3199999999999996E-2</v>
      </c>
      <c r="G65" s="100">
        <f>+$I$50</f>
        <v>141.08500000000001</v>
      </c>
      <c r="H65" s="144">
        <f t="shared" si="20"/>
        <v>11.738272</v>
      </c>
      <c r="I65" s="76">
        <f t="shared" si="21"/>
        <v>-0.3257279999999998</v>
      </c>
      <c r="J65" s="145">
        <f t="shared" si="22"/>
        <v>-2.6999999999999982E-2</v>
      </c>
    </row>
    <row r="66" spans="1:10" x14ac:dyDescent="0.3">
      <c r="A66" s="23" t="s">
        <v>24</v>
      </c>
      <c r="B66" s="24"/>
      <c r="C66" s="25"/>
      <c r="D66" s="26"/>
      <c r="E66" s="27">
        <f>SUM(E58:E65)</f>
        <v>1151.259</v>
      </c>
      <c r="F66" s="28"/>
      <c r="G66" s="29"/>
      <c r="H66" s="27">
        <f>SUM(H58:H65)</f>
        <v>1193.2561331449999</v>
      </c>
      <c r="I66" s="30">
        <f>SUM(I58:I65)</f>
        <v>41.99713314499995</v>
      </c>
      <c r="J66" s="31">
        <f>IF((E66)=0,"",(I66/E66))</f>
        <v>3.6479309299644956E-2</v>
      </c>
    </row>
    <row r="67" spans="1:10" x14ac:dyDescent="0.3">
      <c r="A67" s="32" t="s">
        <v>25</v>
      </c>
      <c r="B67" s="12"/>
      <c r="C67" s="20">
        <v>0</v>
      </c>
      <c r="D67" s="33">
        <f>IF(C67=0,0,$B$3*B52-B50)</f>
        <v>0</v>
      </c>
      <c r="E67" s="15">
        <f>C67*D67</f>
        <v>0</v>
      </c>
      <c r="F67" s="21">
        <v>0</v>
      </c>
      <c r="G67" s="33">
        <f>IF(F67=0,0,$I$3*B53-I50)</f>
        <v>0</v>
      </c>
      <c r="H67" s="15">
        <f t="shared" ref="H67" si="23">F67*G67</f>
        <v>0</v>
      </c>
      <c r="I67" s="18">
        <f t="shared" ref="I67:I74" si="24">+H67-E67</f>
        <v>0</v>
      </c>
      <c r="J67" s="19" t="str">
        <f t="shared" ref="J67:J74" si="25">IF(ISERROR(I67/E67),"",I67/E67)</f>
        <v/>
      </c>
    </row>
    <row r="68" spans="1:10" x14ac:dyDescent="0.3">
      <c r="A68" s="32" t="s">
        <v>26</v>
      </c>
      <c r="B68" s="143"/>
      <c r="C68" s="52">
        <v>0</v>
      </c>
      <c r="D68" s="14">
        <f>IF($B$51&gt;0,$B$51,$B$50)</f>
        <v>145</v>
      </c>
      <c r="E68" s="144">
        <v>0</v>
      </c>
      <c r="F68" s="54">
        <f>C68</f>
        <v>0</v>
      </c>
      <c r="G68" s="100">
        <f>+$I$50</f>
        <v>141.08500000000001</v>
      </c>
      <c r="H68" s="144">
        <v>0</v>
      </c>
      <c r="I68" s="76">
        <f t="shared" si="24"/>
        <v>0</v>
      </c>
      <c r="J68" s="145" t="str">
        <f t="shared" si="25"/>
        <v/>
      </c>
    </row>
    <row r="69" spans="1:10" x14ac:dyDescent="0.3">
      <c r="A69" s="32" t="s">
        <v>27</v>
      </c>
      <c r="B69" s="12"/>
      <c r="C69" s="20">
        <v>0</v>
      </c>
      <c r="D69" s="14">
        <f>IF($B$51&gt;0,$B$51,$B$50)</f>
        <v>145</v>
      </c>
      <c r="E69" s="15">
        <f t="shared" ref="E69" si="26">C69*D69</f>
        <v>0</v>
      </c>
      <c r="F69" s="21">
        <v>0</v>
      </c>
      <c r="G69" s="100">
        <f>+$I$50</f>
        <v>141.08500000000001</v>
      </c>
      <c r="H69" s="15">
        <f t="shared" ref="H69" si="27">F69*G69</f>
        <v>0</v>
      </c>
      <c r="I69" s="18">
        <f t="shared" si="24"/>
        <v>0</v>
      </c>
      <c r="J69" s="19" t="str">
        <f t="shared" si="25"/>
        <v/>
      </c>
    </row>
    <row r="70" spans="1:10" x14ac:dyDescent="0.3">
      <c r="A70" s="32" t="s">
        <v>28</v>
      </c>
      <c r="B70" s="143"/>
      <c r="C70" s="52"/>
      <c r="D70" s="34">
        <f>+B50</f>
        <v>57220</v>
      </c>
      <c r="E70" s="144">
        <v>0</v>
      </c>
      <c r="F70" s="54">
        <f>C70</f>
        <v>0</v>
      </c>
      <c r="G70" s="100">
        <f>+I51</f>
        <v>55675.06</v>
      </c>
      <c r="H70" s="144">
        <v>0</v>
      </c>
      <c r="I70" s="76">
        <f t="shared" si="24"/>
        <v>0</v>
      </c>
      <c r="J70" s="145" t="str">
        <f t="shared" si="25"/>
        <v/>
      </c>
    </row>
    <row r="71" spans="1:10" x14ac:dyDescent="0.3">
      <c r="A71" s="35" t="s">
        <v>29</v>
      </c>
      <c r="B71" s="12"/>
      <c r="C71" s="20">
        <v>0</v>
      </c>
      <c r="D71" s="14">
        <f>IF($B$51&gt;0,$B$51,$B$50)</f>
        <v>145</v>
      </c>
      <c r="E71" s="15">
        <f t="shared" ref="E71:E74" si="28">C71*D71</f>
        <v>0</v>
      </c>
      <c r="F71" s="21"/>
      <c r="G71" s="100">
        <f>+$I$50</f>
        <v>141.08500000000001</v>
      </c>
      <c r="H71" s="15">
        <f t="shared" ref="H71:H74" si="29">F71*G71</f>
        <v>0</v>
      </c>
      <c r="I71" s="18">
        <f t="shared" si="24"/>
        <v>0</v>
      </c>
      <c r="J71" s="19" t="str">
        <f t="shared" si="25"/>
        <v/>
      </c>
    </row>
    <row r="72" spans="1:10" x14ac:dyDescent="0.3">
      <c r="A72" s="36" t="s">
        <v>30</v>
      </c>
      <c r="B72" s="12"/>
      <c r="C72" s="37">
        <v>0</v>
      </c>
      <c r="D72" s="14">
        <v>1</v>
      </c>
      <c r="E72" s="15">
        <f t="shared" si="28"/>
        <v>0</v>
      </c>
      <c r="F72" s="38">
        <v>0</v>
      </c>
      <c r="G72" s="14">
        <v>1</v>
      </c>
      <c r="H72" s="15">
        <f t="shared" si="29"/>
        <v>0</v>
      </c>
      <c r="I72" s="18">
        <f t="shared" si="24"/>
        <v>0</v>
      </c>
      <c r="J72" s="19" t="str">
        <f t="shared" si="25"/>
        <v/>
      </c>
    </row>
    <row r="73" spans="1:10" x14ac:dyDescent="0.3">
      <c r="A73" s="35" t="s">
        <v>31</v>
      </c>
      <c r="B73" s="12"/>
      <c r="C73" s="13">
        <v>0</v>
      </c>
      <c r="D73" s="14">
        <v>1</v>
      </c>
      <c r="E73" s="15">
        <f t="shared" si="28"/>
        <v>0</v>
      </c>
      <c r="F73" s="16">
        <v>0</v>
      </c>
      <c r="G73" s="14">
        <v>1</v>
      </c>
      <c r="H73" s="15">
        <f t="shared" si="29"/>
        <v>0</v>
      </c>
      <c r="I73" s="18">
        <f t="shared" si="24"/>
        <v>0</v>
      </c>
      <c r="J73" s="19" t="str">
        <f t="shared" si="25"/>
        <v/>
      </c>
    </row>
    <row r="74" spans="1:10" x14ac:dyDescent="0.3">
      <c r="A74" s="35" t="s">
        <v>32</v>
      </c>
      <c r="B74" s="12"/>
      <c r="C74" s="20">
        <v>-4.0000000000000002E-4</v>
      </c>
      <c r="D74" s="34">
        <f>+B50</f>
        <v>57220</v>
      </c>
      <c r="E74" s="15">
        <f t="shared" si="28"/>
        <v>-22.888000000000002</v>
      </c>
      <c r="F74" s="21">
        <f>C74</f>
        <v>-4.0000000000000002E-4</v>
      </c>
      <c r="G74" s="100">
        <f>I51</f>
        <v>55675.06</v>
      </c>
      <c r="H74" s="15">
        <f t="shared" si="29"/>
        <v>-22.270023999999999</v>
      </c>
      <c r="I74" s="18">
        <f t="shared" si="24"/>
        <v>0.6179760000000023</v>
      </c>
      <c r="J74" s="19">
        <f t="shared" si="25"/>
        <v>-2.7000000000000097E-2</v>
      </c>
    </row>
    <row r="75" spans="1:10" ht="26.4" x14ac:dyDescent="0.3">
      <c r="A75" s="39" t="s">
        <v>33</v>
      </c>
      <c r="B75" s="40"/>
      <c r="C75" s="41"/>
      <c r="D75" s="147"/>
      <c r="E75" s="43">
        <f>SUM(E66:E74)</f>
        <v>1128.3710000000001</v>
      </c>
      <c r="F75" s="44"/>
      <c r="G75" s="45"/>
      <c r="H75" s="43">
        <f>SUM(H66:H74)</f>
        <v>1170.986109145</v>
      </c>
      <c r="I75" s="30">
        <f>SUM(I66:I74)</f>
        <v>42.615109144999948</v>
      </c>
      <c r="J75" s="31">
        <f>IF((E75)=0,"",(I75/E75))</f>
        <v>3.7766930508671304E-2</v>
      </c>
    </row>
    <row r="76" spans="1:10" x14ac:dyDescent="0.3">
      <c r="A76" s="46" t="s">
        <v>34</v>
      </c>
      <c r="B76" s="12"/>
      <c r="C76" s="20">
        <v>2.3582000000000001</v>
      </c>
      <c r="D76" s="33">
        <f>IF($B$51&gt;0,$B$51,$B$50*$B$52)</f>
        <v>145</v>
      </c>
      <c r="E76" s="15">
        <f t="shared" ref="E76:E77" si="30">C76*D76</f>
        <v>341.93900000000002</v>
      </c>
      <c r="F76" s="21">
        <f>C76</f>
        <v>2.3582000000000001</v>
      </c>
      <c r="G76" s="33">
        <f>IF($I$50&gt;0,$I$50,$B$50*$B$52)</f>
        <v>141.08500000000001</v>
      </c>
      <c r="H76" s="15">
        <f t="shared" ref="H76:H77" si="31">F76*G76</f>
        <v>332.70664700000003</v>
      </c>
      <c r="I76" s="18">
        <f t="shared" ref="I76:I77" si="32">+H76-E76</f>
        <v>-9.2323529999999892</v>
      </c>
      <c r="J76" s="19">
        <f t="shared" ref="J76:J77" si="33">IF(ISERROR(I76/E76),"",I76/E76)</f>
        <v>-2.6999999999999965E-2</v>
      </c>
    </row>
    <row r="77" spans="1:10" ht="26.4" x14ac:dyDescent="0.3">
      <c r="A77" s="47" t="s">
        <v>35</v>
      </c>
      <c r="B77" s="12"/>
      <c r="C77" s="20">
        <v>0</v>
      </c>
      <c r="D77" s="33">
        <f>IF($B$51&gt;0,$B$51,$B$50*$B$52)</f>
        <v>145</v>
      </c>
      <c r="E77" s="15">
        <f t="shared" si="30"/>
        <v>0</v>
      </c>
      <c r="F77" s="21">
        <v>0</v>
      </c>
      <c r="G77" s="33">
        <f>IF($I$50&gt;0,$I$50,$B$50*$B$52)</f>
        <v>141.08500000000001</v>
      </c>
      <c r="H77" s="15">
        <f t="shared" si="31"/>
        <v>0</v>
      </c>
      <c r="I77" s="18">
        <f t="shared" si="32"/>
        <v>0</v>
      </c>
      <c r="J77" s="19" t="str">
        <f t="shared" si="33"/>
        <v/>
      </c>
    </row>
    <row r="78" spans="1:10" ht="26.4" x14ac:dyDescent="0.3">
      <c r="A78" s="39" t="s">
        <v>36</v>
      </c>
      <c r="B78" s="24"/>
      <c r="C78" s="41"/>
      <c r="D78" s="42"/>
      <c r="E78" s="43">
        <f>SUM(E75:E77)</f>
        <v>1470.3100000000002</v>
      </c>
      <c r="F78" s="44"/>
      <c r="G78" s="29"/>
      <c r="H78" s="43">
        <f>SUM(H75:H77)</f>
        <v>1503.692756145</v>
      </c>
      <c r="I78" s="30">
        <f>SUM(I75:I77)</f>
        <v>33.382756144999959</v>
      </c>
      <c r="J78" s="31">
        <f>IF((E78)=0,"",(I78/E78))</f>
        <v>2.2704569883221875E-2</v>
      </c>
    </row>
    <row r="79" spans="1:10" x14ac:dyDescent="0.3">
      <c r="A79" s="48" t="s">
        <v>37</v>
      </c>
      <c r="B79" s="12"/>
      <c r="C79" s="20">
        <v>3.3999999999999998E-3</v>
      </c>
      <c r="D79" s="33">
        <f>+B50*B52</f>
        <v>59972.281999999999</v>
      </c>
      <c r="E79" s="49">
        <f t="shared" ref="E79:E87" si="34">C79*D79</f>
        <v>203.90575879999997</v>
      </c>
      <c r="F79" s="21">
        <v>3.3999999999999998E-3</v>
      </c>
      <c r="G79" s="33">
        <f>+$I$51*$B$53</f>
        <v>58353.030385999999</v>
      </c>
      <c r="H79" s="49">
        <f t="shared" ref="H79:H87" si="35">F79*G79</f>
        <v>198.40030331239998</v>
      </c>
      <c r="I79" s="18">
        <f t="shared" ref="I79:I87" si="36">+H79-E79</f>
        <v>-5.5054554875999884</v>
      </c>
      <c r="J79" s="19">
        <f t="shared" ref="J79:J87" si="37">IF(ISERROR(I79/E79),"",I79/E79)</f>
        <v>-2.6999999999999948E-2</v>
      </c>
    </row>
    <row r="80" spans="1:10" x14ac:dyDescent="0.3">
      <c r="A80" s="48" t="s">
        <v>38</v>
      </c>
      <c r="B80" s="12"/>
      <c r="C80" s="20">
        <v>5.0000000000000001E-4</v>
      </c>
      <c r="D80" s="33">
        <f>+B50*B52</f>
        <v>59972.281999999999</v>
      </c>
      <c r="E80" s="49">
        <f t="shared" si="34"/>
        <v>29.986141</v>
      </c>
      <c r="F80" s="21">
        <v>5.0000000000000001E-4</v>
      </c>
      <c r="G80" s="33">
        <f>+$I$51*$B$53</f>
        <v>58353.030385999999</v>
      </c>
      <c r="H80" s="49">
        <f t="shared" si="35"/>
        <v>29.176515193</v>
      </c>
      <c r="I80" s="18">
        <f t="shared" si="36"/>
        <v>-0.80962580699999975</v>
      </c>
      <c r="J80" s="19">
        <f t="shared" si="37"/>
        <v>-2.6999999999999993E-2</v>
      </c>
    </row>
    <row r="81" spans="1:13" x14ac:dyDescent="0.3">
      <c r="A81" s="50" t="s">
        <v>39</v>
      </c>
      <c r="B81" s="12"/>
      <c r="C81" s="37">
        <v>0.25</v>
      </c>
      <c r="D81" s="14">
        <v>1</v>
      </c>
      <c r="E81" s="49">
        <f t="shared" si="34"/>
        <v>0.25</v>
      </c>
      <c r="F81" s="38">
        <v>0.25</v>
      </c>
      <c r="G81" s="17">
        <v>1</v>
      </c>
      <c r="H81" s="49">
        <f t="shared" si="35"/>
        <v>0.25</v>
      </c>
      <c r="I81" s="18">
        <f t="shared" si="36"/>
        <v>0</v>
      </c>
      <c r="J81" s="19">
        <f t="shared" si="37"/>
        <v>0</v>
      </c>
    </row>
    <row r="82" spans="1:13" ht="26.4" x14ac:dyDescent="0.3">
      <c r="A82" s="48" t="s">
        <v>40</v>
      </c>
      <c r="B82" s="12"/>
      <c r="C82" s="20"/>
      <c r="D82" s="33"/>
      <c r="E82" s="49">
        <f t="shared" si="34"/>
        <v>0</v>
      </c>
      <c r="F82" s="21"/>
      <c r="G82" s="33"/>
      <c r="H82" s="49">
        <f t="shared" si="35"/>
        <v>0</v>
      </c>
      <c r="I82" s="18">
        <f t="shared" si="36"/>
        <v>0</v>
      </c>
      <c r="J82" s="19" t="str">
        <f t="shared" si="37"/>
        <v/>
      </c>
    </row>
    <row r="83" spans="1:13" hidden="1" x14ac:dyDescent="0.3">
      <c r="A83" s="51" t="s">
        <v>41</v>
      </c>
      <c r="B83" s="12"/>
      <c r="C83" s="52">
        <f>C36</f>
        <v>0.10100000000000001</v>
      </c>
      <c r="D83" s="53">
        <v>0</v>
      </c>
      <c r="E83" s="49">
        <f t="shared" si="34"/>
        <v>0</v>
      </c>
      <c r="F83" s="54">
        <f>C83</f>
        <v>0.10100000000000001</v>
      </c>
      <c r="G83" s="53">
        <v>0</v>
      </c>
      <c r="H83" s="49">
        <f t="shared" si="35"/>
        <v>0</v>
      </c>
      <c r="I83" s="18">
        <f t="shared" si="36"/>
        <v>0</v>
      </c>
      <c r="J83" s="19" t="str">
        <f t="shared" si="37"/>
        <v/>
      </c>
    </row>
    <row r="84" spans="1:13" hidden="1" x14ac:dyDescent="0.3">
      <c r="A84" s="51" t="s">
        <v>42</v>
      </c>
      <c r="B84" s="12"/>
      <c r="C84" s="52">
        <f t="shared" ref="C84:C87" si="38">C37</f>
        <v>0.14399999999999999</v>
      </c>
      <c r="D84" s="53">
        <v>0</v>
      </c>
      <c r="E84" s="49">
        <f t="shared" si="34"/>
        <v>0</v>
      </c>
      <c r="F84" s="54">
        <f t="shared" ref="F84:F85" si="39">C84</f>
        <v>0.14399999999999999</v>
      </c>
      <c r="G84" s="53">
        <v>0</v>
      </c>
      <c r="H84" s="49">
        <f t="shared" si="35"/>
        <v>0</v>
      </c>
      <c r="I84" s="18">
        <f t="shared" si="36"/>
        <v>0</v>
      </c>
      <c r="J84" s="19" t="str">
        <f t="shared" si="37"/>
        <v/>
      </c>
    </row>
    <row r="85" spans="1:13" hidden="1" x14ac:dyDescent="0.3">
      <c r="A85" s="3" t="s">
        <v>43</v>
      </c>
      <c r="B85" s="12"/>
      <c r="C85" s="52">
        <f t="shared" si="38"/>
        <v>0.20799999999999999</v>
      </c>
      <c r="D85" s="53">
        <v>0</v>
      </c>
      <c r="E85" s="49">
        <f t="shared" si="34"/>
        <v>0</v>
      </c>
      <c r="F85" s="54">
        <f t="shared" si="39"/>
        <v>0.20799999999999999</v>
      </c>
      <c r="G85" s="53">
        <v>0</v>
      </c>
      <c r="H85" s="49">
        <f t="shared" si="35"/>
        <v>0</v>
      </c>
      <c r="I85" s="18">
        <f t="shared" si="36"/>
        <v>0</v>
      </c>
      <c r="J85" s="19" t="str">
        <f t="shared" si="37"/>
        <v/>
      </c>
      <c r="M85">
        <v>0.1077</v>
      </c>
    </row>
    <row r="86" spans="1:13" hidden="1" x14ac:dyDescent="0.3">
      <c r="A86" s="51" t="s">
        <v>44</v>
      </c>
      <c r="B86" s="12"/>
      <c r="C86" s="52">
        <f t="shared" si="38"/>
        <v>0.1101</v>
      </c>
      <c r="D86" s="53">
        <f t="shared" ref="D86" si="40">IF($B$4&gt;0,$B$4,$B$3)</f>
        <v>55</v>
      </c>
      <c r="E86" s="49">
        <f t="shared" si="34"/>
        <v>6.0555000000000003</v>
      </c>
      <c r="F86" s="56">
        <v>0.1101</v>
      </c>
      <c r="G86" s="53">
        <f t="shared" ref="G86" si="41">+$I$3</f>
        <v>53.515000000000001</v>
      </c>
      <c r="H86" s="49">
        <f t="shared" si="35"/>
        <v>5.8920015000000001</v>
      </c>
      <c r="I86" s="18">
        <f t="shared" si="36"/>
        <v>-0.16349850000000021</v>
      </c>
      <c r="J86" s="19">
        <f t="shared" si="37"/>
        <v>-2.7000000000000034E-2</v>
      </c>
    </row>
    <row r="87" spans="1:13" ht="15" thickBot="1" x14ac:dyDescent="0.35">
      <c r="A87" s="51" t="s">
        <v>45</v>
      </c>
      <c r="B87" s="12"/>
      <c r="C87" s="52">
        <f t="shared" si="38"/>
        <v>0.1101</v>
      </c>
      <c r="D87" s="53">
        <f>+B50*B52</f>
        <v>59972.281999999999</v>
      </c>
      <c r="E87" s="49">
        <f t="shared" si="34"/>
        <v>6602.9482482000003</v>
      </c>
      <c r="F87" s="56">
        <f>C87</f>
        <v>0.1101</v>
      </c>
      <c r="G87" s="33">
        <f>+$I$51*$B$53</f>
        <v>58353.030385999999</v>
      </c>
      <c r="H87" s="49">
        <f t="shared" si="35"/>
        <v>6424.6686454986002</v>
      </c>
      <c r="I87" s="18">
        <f t="shared" si="36"/>
        <v>-178.27960270140011</v>
      </c>
      <c r="J87" s="19">
        <f t="shared" si="37"/>
        <v>-2.7000000000000014E-2</v>
      </c>
    </row>
    <row r="88" spans="1:13" ht="15" thickBot="1" x14ac:dyDescent="0.35">
      <c r="A88" s="57"/>
      <c r="B88" s="58"/>
      <c r="C88" s="59"/>
      <c r="D88" s="60"/>
      <c r="E88" s="61"/>
      <c r="F88" s="59"/>
      <c r="G88" s="62"/>
      <c r="H88" s="61"/>
      <c r="I88" s="63"/>
      <c r="J88" s="64"/>
    </row>
    <row r="89" spans="1:13" x14ac:dyDescent="0.3">
      <c r="A89" s="65" t="s">
        <v>46</v>
      </c>
      <c r="B89" s="50"/>
      <c r="C89" s="66"/>
      <c r="D89" s="67"/>
      <c r="E89" s="68">
        <f>SUM(E87,E78:E85)</f>
        <v>8307.4001480000006</v>
      </c>
      <c r="F89" s="69"/>
      <c r="G89" s="69"/>
      <c r="H89" s="68">
        <f>SUM(H87,H78:H85)</f>
        <v>8156.1882201490007</v>
      </c>
      <c r="I89" s="68">
        <f>SUM(I87,I78:I85)</f>
        <v>-151.21192785100013</v>
      </c>
      <c r="J89" s="71">
        <f t="shared" ref="J89:J90" si="42">IF((E89)=0,"",(I89/E89))</f>
        <v>-1.8202075878986552E-2</v>
      </c>
    </row>
    <row r="90" spans="1:13" x14ac:dyDescent="0.3">
      <c r="A90" s="72" t="s">
        <v>47</v>
      </c>
      <c r="B90" s="50"/>
      <c r="C90" s="66">
        <v>0.13</v>
      </c>
      <c r="D90" s="73"/>
      <c r="E90" s="74">
        <f>+E89*C90</f>
        <v>1079.96201924</v>
      </c>
      <c r="F90" s="75">
        <v>0.13</v>
      </c>
      <c r="G90" s="14"/>
      <c r="H90" s="74">
        <f>+H89*F90</f>
        <v>1060.30446861937</v>
      </c>
      <c r="I90" s="76">
        <f>+I89*F90</f>
        <v>-19.657550620630015</v>
      </c>
      <c r="J90" s="77">
        <f t="shared" si="42"/>
        <v>-1.8202075878986552E-2</v>
      </c>
    </row>
    <row r="91" spans="1:13" x14ac:dyDescent="0.3">
      <c r="A91" s="72"/>
      <c r="B91" s="50"/>
      <c r="C91" s="66"/>
      <c r="D91" s="73"/>
      <c r="E91" s="74"/>
      <c r="F91" s="66"/>
      <c r="G91" s="14"/>
      <c r="H91" s="74"/>
      <c r="I91" s="76"/>
      <c r="J91" s="77"/>
    </row>
    <row r="92" spans="1:13" ht="15" thickBot="1" x14ac:dyDescent="0.35">
      <c r="A92" s="212" t="s">
        <v>48</v>
      </c>
      <c r="B92" s="212"/>
      <c r="C92" s="78"/>
      <c r="D92" s="79"/>
      <c r="E92" s="80">
        <f>+E89+E90+E91</f>
        <v>9387.3621672400004</v>
      </c>
      <c r="F92" s="81"/>
      <c r="G92" s="81"/>
      <c r="H92" s="82">
        <f>+H89+H90+H91</f>
        <v>9216.4926887683705</v>
      </c>
      <c r="I92" s="83">
        <f>+I89+I90+I91</f>
        <v>-170.86947847163015</v>
      </c>
      <c r="J92" s="84">
        <f>IF((E92)=0,"",(I92/E92))</f>
        <v>-1.8202075878986552E-2</v>
      </c>
    </row>
    <row r="93" spans="1:13" ht="15" thickBot="1" x14ac:dyDescent="0.35">
      <c r="A93" s="57"/>
      <c r="B93" s="58"/>
      <c r="C93" s="59"/>
      <c r="D93" s="60"/>
      <c r="E93" s="61"/>
      <c r="F93" s="59"/>
      <c r="G93" s="62"/>
      <c r="H93" s="61"/>
      <c r="I93" s="63"/>
      <c r="J93" s="64"/>
    </row>
    <row r="95" spans="1:13" x14ac:dyDescent="0.3">
      <c r="A95" s="1" t="s">
        <v>0</v>
      </c>
      <c r="B95" s="213" t="s">
        <v>52</v>
      </c>
      <c r="C95" s="200"/>
      <c r="D95" s="200"/>
      <c r="E95" s="200"/>
      <c r="F95" s="200"/>
      <c r="G95" s="200"/>
      <c r="H95" s="2" t="s">
        <v>2</v>
      </c>
      <c r="I95" s="2"/>
      <c r="J95" s="2"/>
    </row>
    <row r="96" spans="1:13" x14ac:dyDescent="0.3">
      <c r="A96" s="85" t="s">
        <v>3</v>
      </c>
      <c r="B96" s="201" t="s">
        <v>53</v>
      </c>
      <c r="C96" s="201"/>
      <c r="D96" s="201"/>
      <c r="E96" s="86"/>
      <c r="F96" s="86"/>
      <c r="G96" s="87"/>
      <c r="H96" s="87"/>
      <c r="I96" s="87"/>
      <c r="J96" s="87"/>
    </row>
    <row r="97" spans="1:10" ht="16.2" thickBot="1" x14ac:dyDescent="0.35">
      <c r="A97" s="85" t="s">
        <v>5</v>
      </c>
      <c r="B97" s="134">
        <v>142465</v>
      </c>
      <c r="C97" s="127" t="s">
        <v>91</v>
      </c>
      <c r="D97" s="90"/>
      <c r="E97" s="98" t="s">
        <v>49</v>
      </c>
      <c r="F97" s="96">
        <f>F3</f>
        <v>2.7E-2</v>
      </c>
      <c r="G97" s="91"/>
      <c r="H97" s="97" t="s">
        <v>50</v>
      </c>
      <c r="I97" s="99">
        <f>B98*(1-F97)</f>
        <v>439.79599999999999</v>
      </c>
      <c r="J97" s="91"/>
    </row>
    <row r="98" spans="1:10" ht="16.2" thickBot="1" x14ac:dyDescent="0.35">
      <c r="A98" s="85" t="s">
        <v>7</v>
      </c>
      <c r="B98" s="135">
        <v>452</v>
      </c>
      <c r="C98" s="128" t="s">
        <v>92</v>
      </c>
      <c r="D98" s="93"/>
      <c r="E98" s="94"/>
      <c r="F98" s="94"/>
      <c r="G98" s="91"/>
      <c r="H98" s="97" t="s">
        <v>50</v>
      </c>
      <c r="I98" s="99">
        <f>B97*(1-F97)</f>
        <v>138618.44500000001</v>
      </c>
      <c r="J98" s="87"/>
    </row>
    <row r="99" spans="1:10" x14ac:dyDescent="0.3">
      <c r="A99" s="85" t="s">
        <v>9</v>
      </c>
      <c r="B99" s="95">
        <v>1.0481</v>
      </c>
      <c r="C99" s="87"/>
      <c r="D99" s="87"/>
      <c r="E99" s="87" t="s">
        <v>98</v>
      </c>
      <c r="F99" s="96">
        <f>Residential!F5</f>
        <v>1.9E-2</v>
      </c>
      <c r="G99" s="87"/>
      <c r="H99" s="87"/>
      <c r="I99" s="142"/>
      <c r="J99" s="87"/>
    </row>
    <row r="100" spans="1:10" x14ac:dyDescent="0.3">
      <c r="A100" s="1" t="s">
        <v>10</v>
      </c>
      <c r="B100" s="4">
        <v>1.0481</v>
      </c>
      <c r="C100" s="2"/>
      <c r="D100" s="119"/>
      <c r="E100" s="2"/>
      <c r="F100" s="2"/>
      <c r="G100" s="2"/>
      <c r="H100" s="2"/>
      <c r="I100" s="2"/>
      <c r="J100" s="2"/>
    </row>
    <row r="101" spans="1:10" x14ac:dyDescent="0.3">
      <c r="A101" s="3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">
      <c r="A102" s="3"/>
      <c r="B102" s="5"/>
      <c r="C102" s="202" t="s">
        <v>95</v>
      </c>
      <c r="D102" s="203"/>
      <c r="E102" s="204"/>
      <c r="F102" s="205" t="s">
        <v>54</v>
      </c>
      <c r="G102" s="203"/>
      <c r="H102" s="204"/>
      <c r="I102" s="202" t="s">
        <v>11</v>
      </c>
      <c r="J102" s="204"/>
    </row>
    <row r="103" spans="1:10" x14ac:dyDescent="0.3">
      <c r="A103" s="3"/>
      <c r="B103" s="206"/>
      <c r="C103" s="6" t="s">
        <v>12</v>
      </c>
      <c r="D103" s="6" t="s">
        <v>13</v>
      </c>
      <c r="E103" s="7" t="s">
        <v>14</v>
      </c>
      <c r="F103" s="6" t="s">
        <v>12</v>
      </c>
      <c r="G103" s="8" t="s">
        <v>13</v>
      </c>
      <c r="H103" s="7" t="s">
        <v>14</v>
      </c>
      <c r="I103" s="208" t="s">
        <v>15</v>
      </c>
      <c r="J103" s="210" t="s">
        <v>16</v>
      </c>
    </row>
    <row r="104" spans="1:10" x14ac:dyDescent="0.3">
      <c r="A104" s="3"/>
      <c r="B104" s="207"/>
      <c r="C104" s="9" t="s">
        <v>17</v>
      </c>
      <c r="D104" s="9"/>
      <c r="E104" s="10" t="s">
        <v>17</v>
      </c>
      <c r="F104" s="9" t="s">
        <v>17</v>
      </c>
      <c r="G104" s="10"/>
      <c r="H104" s="10" t="s">
        <v>17</v>
      </c>
      <c r="I104" s="209"/>
      <c r="J104" s="211"/>
    </row>
    <row r="105" spans="1:10" x14ac:dyDescent="0.3">
      <c r="A105" s="11" t="s">
        <v>18</v>
      </c>
      <c r="B105" s="12"/>
      <c r="C105" s="13">
        <f>C11</f>
        <v>119.45</v>
      </c>
      <c r="D105" s="14">
        <v>1</v>
      </c>
      <c r="E105" s="15">
        <f>C105*D105</f>
        <v>119.45</v>
      </c>
      <c r="F105" s="13">
        <f>F11</f>
        <v>121.71955</v>
      </c>
      <c r="G105" s="17">
        <v>1</v>
      </c>
      <c r="H105" s="15">
        <f>F105*G105</f>
        <v>121.71955</v>
      </c>
      <c r="I105" s="18">
        <f>+H105-E105</f>
        <v>2.2695499999999953</v>
      </c>
      <c r="J105" s="19">
        <f>IF(ISERROR(I105/E105),"",I105/E105)</f>
        <v>1.8999999999999961E-2</v>
      </c>
    </row>
    <row r="106" spans="1:10" x14ac:dyDescent="0.3">
      <c r="A106" s="11" t="s">
        <v>19</v>
      </c>
      <c r="B106" s="12"/>
      <c r="C106" s="173">
        <f>C12</f>
        <v>7.0229999999999997</v>
      </c>
      <c r="D106" s="14">
        <f>IF($B$98&gt;0,$B$98,$B$97)</f>
        <v>452</v>
      </c>
      <c r="E106" s="15">
        <f t="shared" ref="E106:E112" si="43">C106*D106</f>
        <v>3174.3959999999997</v>
      </c>
      <c r="F106" s="173">
        <f>F12</f>
        <v>7.1564369999999986</v>
      </c>
      <c r="G106" s="100">
        <f>+$I$97</f>
        <v>439.79599999999999</v>
      </c>
      <c r="H106" s="15">
        <f t="shared" ref="H106:H112" si="44">F106*G106</f>
        <v>3147.3723668519992</v>
      </c>
      <c r="I106" s="18">
        <f t="shared" ref="I106:I112" si="45">+H106-E106</f>
        <v>-27.023633148000499</v>
      </c>
      <c r="J106" s="19">
        <f t="shared" ref="J106:J112" si="46">IF(ISERROR(I106/E106),"",I106/E106)</f>
        <v>-8.5130000000001576E-3</v>
      </c>
    </row>
    <row r="107" spans="1:10" x14ac:dyDescent="0.3">
      <c r="A107" s="11" t="s">
        <v>20</v>
      </c>
      <c r="B107" s="12"/>
      <c r="C107" s="20">
        <v>0</v>
      </c>
      <c r="D107" s="14">
        <f>IF($B$98&gt;0,$B$98,$B$97)</f>
        <v>452</v>
      </c>
      <c r="E107" s="15">
        <f t="shared" si="43"/>
        <v>0</v>
      </c>
      <c r="F107" s="21"/>
      <c r="G107" s="100">
        <f>+$I$97</f>
        <v>439.79599999999999</v>
      </c>
      <c r="H107" s="15">
        <f t="shared" si="44"/>
        <v>0</v>
      </c>
      <c r="I107" s="18">
        <f t="shared" si="45"/>
        <v>0</v>
      </c>
      <c r="J107" s="19" t="str">
        <f t="shared" si="46"/>
        <v/>
      </c>
    </row>
    <row r="108" spans="1:10" x14ac:dyDescent="0.3">
      <c r="A108" s="11" t="s">
        <v>21</v>
      </c>
      <c r="B108" s="12"/>
      <c r="C108" s="20">
        <v>0</v>
      </c>
      <c r="D108" s="14">
        <f>IF($B$98&gt;0,$B$98,$B$97)</f>
        <v>452</v>
      </c>
      <c r="E108" s="15">
        <f t="shared" si="43"/>
        <v>0</v>
      </c>
      <c r="F108" s="21"/>
      <c r="G108" s="100">
        <f>+$I$97</f>
        <v>439.79599999999999</v>
      </c>
      <c r="H108" s="15">
        <f t="shared" si="44"/>
        <v>0</v>
      </c>
      <c r="I108" s="18">
        <f t="shared" si="45"/>
        <v>0</v>
      </c>
      <c r="J108" s="19" t="str">
        <f t="shared" si="46"/>
        <v/>
      </c>
    </row>
    <row r="109" spans="1:10" x14ac:dyDescent="0.3">
      <c r="A109" s="22" t="s">
        <v>22</v>
      </c>
      <c r="B109" s="12"/>
      <c r="C109" s="13">
        <v>1.41</v>
      </c>
      <c r="D109" s="14">
        <v>1</v>
      </c>
      <c r="E109" s="15">
        <f t="shared" si="43"/>
        <v>1.41</v>
      </c>
      <c r="F109" s="16">
        <f>C109</f>
        <v>1.41</v>
      </c>
      <c r="G109" s="17">
        <v>1</v>
      </c>
      <c r="H109" s="15">
        <f t="shared" si="44"/>
        <v>1.41</v>
      </c>
      <c r="I109" s="18">
        <f t="shared" si="45"/>
        <v>0</v>
      </c>
      <c r="J109" s="19">
        <f t="shared" si="46"/>
        <v>0</v>
      </c>
    </row>
    <row r="110" spans="1:10" x14ac:dyDescent="0.3">
      <c r="A110" s="35" t="s">
        <v>80</v>
      </c>
      <c r="B110" s="12"/>
      <c r="C110" s="13">
        <v>0</v>
      </c>
      <c r="D110" s="14">
        <v>1</v>
      </c>
      <c r="E110" s="15">
        <f t="shared" si="43"/>
        <v>0</v>
      </c>
      <c r="F110" s="16">
        <f>F16</f>
        <v>5.24</v>
      </c>
      <c r="G110" s="14">
        <v>1</v>
      </c>
      <c r="H110" s="15">
        <f t="shared" si="44"/>
        <v>5.24</v>
      </c>
      <c r="I110" s="18">
        <f t="shared" si="45"/>
        <v>5.24</v>
      </c>
      <c r="J110" s="19" t="str">
        <f t="shared" si="46"/>
        <v/>
      </c>
    </row>
    <row r="111" spans="1:10" x14ac:dyDescent="0.3">
      <c r="A111" s="35" t="s">
        <v>81</v>
      </c>
      <c r="B111" s="12"/>
      <c r="C111" s="20">
        <v>0</v>
      </c>
      <c r="D111" s="14">
        <f>IF($B$98&gt;0,$B$98,$B$97)</f>
        <v>452</v>
      </c>
      <c r="E111" s="15">
        <f t="shared" si="43"/>
        <v>0</v>
      </c>
      <c r="F111" s="16">
        <f>F17</f>
        <v>0.30819999999999997</v>
      </c>
      <c r="G111" s="100">
        <f>+$I$97</f>
        <v>439.79599999999999</v>
      </c>
      <c r="H111" s="15">
        <f t="shared" si="44"/>
        <v>135.5451272</v>
      </c>
      <c r="I111" s="18">
        <f t="shared" si="45"/>
        <v>135.5451272</v>
      </c>
      <c r="J111" s="19" t="str">
        <f t="shared" si="46"/>
        <v/>
      </c>
    </row>
    <row r="112" spans="1:10" x14ac:dyDescent="0.3">
      <c r="A112" s="22" t="s">
        <v>23</v>
      </c>
      <c r="B112" s="143"/>
      <c r="C112" s="52">
        <v>8.3199999999999996E-2</v>
      </c>
      <c r="D112" s="14">
        <f>IF($B$98&gt;0,$B$98,$B$97)</f>
        <v>452</v>
      </c>
      <c r="E112" s="144">
        <f t="shared" si="43"/>
        <v>37.606400000000001</v>
      </c>
      <c r="F112" s="54">
        <f>C112</f>
        <v>8.3199999999999996E-2</v>
      </c>
      <c r="G112" s="100">
        <f>+$I$97</f>
        <v>439.79599999999999</v>
      </c>
      <c r="H112" s="144">
        <f t="shared" si="44"/>
        <v>36.591027199999999</v>
      </c>
      <c r="I112" s="76">
        <f t="shared" si="45"/>
        <v>-1.0153728000000015</v>
      </c>
      <c r="J112" s="145">
        <f t="shared" si="46"/>
        <v>-2.7000000000000041E-2</v>
      </c>
    </row>
    <row r="113" spans="1:10" x14ac:dyDescent="0.3">
      <c r="A113" s="23" t="s">
        <v>24</v>
      </c>
      <c r="B113" s="24"/>
      <c r="C113" s="25"/>
      <c r="D113" s="26"/>
      <c r="E113" s="27">
        <f>SUM(E105:E112)</f>
        <v>3332.8623999999995</v>
      </c>
      <c r="F113" s="28"/>
      <c r="G113" s="29"/>
      <c r="H113" s="27">
        <f>SUM(H105:H112)</f>
        <v>3447.8780712519988</v>
      </c>
      <c r="I113" s="30">
        <f>SUM(I105:I112)</f>
        <v>115.01567125199949</v>
      </c>
      <c r="J113" s="31">
        <f>IF((E113)=0,"",(I113/E113))</f>
        <v>3.4509576888622676E-2</v>
      </c>
    </row>
    <row r="114" spans="1:10" x14ac:dyDescent="0.3">
      <c r="A114" s="32" t="s">
        <v>25</v>
      </c>
      <c r="B114" s="12"/>
      <c r="C114" s="20">
        <v>0</v>
      </c>
      <c r="D114" s="33">
        <f>IF(C114=0,0,$B$3*B99-B97)</f>
        <v>0</v>
      </c>
      <c r="E114" s="15">
        <f>C114*D114</f>
        <v>0</v>
      </c>
      <c r="F114" s="21">
        <v>0</v>
      </c>
      <c r="G114" s="33">
        <f>IF(F114=0,0,$I$3*B100-I97)</f>
        <v>0</v>
      </c>
      <c r="H114" s="15">
        <f t="shared" ref="H114" si="47">F114*G114</f>
        <v>0</v>
      </c>
      <c r="I114" s="18">
        <f t="shared" ref="I114:I121" si="48">+H114-E114</f>
        <v>0</v>
      </c>
      <c r="J114" s="19" t="str">
        <f t="shared" ref="J114:J121" si="49">IF(ISERROR(I114/E114),"",I114/E114)</f>
        <v/>
      </c>
    </row>
    <row r="115" spans="1:10" x14ac:dyDescent="0.3">
      <c r="A115" s="32" t="s">
        <v>26</v>
      </c>
      <c r="B115" s="143"/>
      <c r="C115" s="52">
        <v>0</v>
      </c>
      <c r="D115" s="14">
        <f>IF($B$98&gt;0,$B$98,$B$97)</f>
        <v>452</v>
      </c>
      <c r="E115" s="144">
        <v>0</v>
      </c>
      <c r="F115" s="54">
        <f>C115</f>
        <v>0</v>
      </c>
      <c r="G115" s="100">
        <f>+$I$97</f>
        <v>439.79599999999999</v>
      </c>
      <c r="H115" s="144">
        <v>0</v>
      </c>
      <c r="I115" s="76">
        <f t="shared" si="48"/>
        <v>0</v>
      </c>
      <c r="J115" s="145" t="str">
        <f t="shared" si="49"/>
        <v/>
      </c>
    </row>
    <row r="116" spans="1:10" x14ac:dyDescent="0.3">
      <c r="A116" s="32" t="s">
        <v>27</v>
      </c>
      <c r="B116" s="12"/>
      <c r="C116" s="20">
        <v>0</v>
      </c>
      <c r="D116" s="14">
        <f>IF($B$98&gt;0,$B$98,$B$97)</f>
        <v>452</v>
      </c>
      <c r="E116" s="15">
        <f t="shared" ref="E116" si="50">C116*D116</f>
        <v>0</v>
      </c>
      <c r="F116" s="21">
        <v>0</v>
      </c>
      <c r="G116" s="100">
        <f>+$I$97</f>
        <v>439.79599999999999</v>
      </c>
      <c r="H116" s="15">
        <f t="shared" ref="H116" si="51">F116*G116</f>
        <v>0</v>
      </c>
      <c r="I116" s="18">
        <f t="shared" si="48"/>
        <v>0</v>
      </c>
      <c r="J116" s="19" t="str">
        <f t="shared" si="49"/>
        <v/>
      </c>
    </row>
    <row r="117" spans="1:10" x14ac:dyDescent="0.3">
      <c r="A117" s="32" t="s">
        <v>28</v>
      </c>
      <c r="B117" s="143"/>
      <c r="C117" s="52"/>
      <c r="D117" s="34">
        <f>+B97</f>
        <v>142465</v>
      </c>
      <c r="E117" s="144">
        <v>0</v>
      </c>
      <c r="F117" s="54">
        <f>C117</f>
        <v>0</v>
      </c>
      <c r="G117" s="100">
        <f>+I98</f>
        <v>138618.44500000001</v>
      </c>
      <c r="H117" s="144">
        <v>0</v>
      </c>
      <c r="I117" s="76">
        <f t="shared" si="48"/>
        <v>0</v>
      </c>
      <c r="J117" s="145" t="str">
        <f t="shared" si="49"/>
        <v/>
      </c>
    </row>
    <row r="118" spans="1:10" x14ac:dyDescent="0.3">
      <c r="A118" s="35" t="s">
        <v>29</v>
      </c>
      <c r="B118" s="12"/>
      <c r="C118" s="20">
        <v>0</v>
      </c>
      <c r="D118" s="14">
        <f>IF($B$98&gt;0,$B$98,$B$97)</f>
        <v>452</v>
      </c>
      <c r="E118" s="15">
        <f t="shared" ref="E118:E121" si="52">C118*D118</f>
        <v>0</v>
      </c>
      <c r="F118" s="21"/>
      <c r="G118" s="100">
        <f>+$I$97</f>
        <v>439.79599999999999</v>
      </c>
      <c r="H118" s="15">
        <f t="shared" ref="H118:H121" si="53">F118*G118</f>
        <v>0</v>
      </c>
      <c r="I118" s="18">
        <f t="shared" si="48"/>
        <v>0</v>
      </c>
      <c r="J118" s="19" t="str">
        <f t="shared" si="49"/>
        <v/>
      </c>
    </row>
    <row r="119" spans="1:10" x14ac:dyDescent="0.3">
      <c r="A119" s="36" t="s">
        <v>30</v>
      </c>
      <c r="B119" s="12"/>
      <c r="C119" s="37">
        <v>0</v>
      </c>
      <c r="D119" s="14">
        <v>1</v>
      </c>
      <c r="E119" s="15">
        <f t="shared" si="52"/>
        <v>0</v>
      </c>
      <c r="F119" s="38">
        <v>0</v>
      </c>
      <c r="G119" s="14">
        <v>1</v>
      </c>
      <c r="H119" s="15">
        <f t="shared" si="53"/>
        <v>0</v>
      </c>
      <c r="I119" s="18">
        <f t="shared" si="48"/>
        <v>0</v>
      </c>
      <c r="J119" s="19" t="str">
        <f t="shared" si="49"/>
        <v/>
      </c>
    </row>
    <row r="120" spans="1:10" x14ac:dyDescent="0.3">
      <c r="A120" s="35" t="s">
        <v>31</v>
      </c>
      <c r="B120" s="12"/>
      <c r="C120" s="13">
        <v>0</v>
      </c>
      <c r="D120" s="14">
        <v>1</v>
      </c>
      <c r="E120" s="15">
        <f t="shared" si="52"/>
        <v>0</v>
      </c>
      <c r="F120" s="16">
        <v>0</v>
      </c>
      <c r="G120" s="14">
        <v>1</v>
      </c>
      <c r="H120" s="15">
        <f t="shared" si="53"/>
        <v>0</v>
      </c>
      <c r="I120" s="18">
        <f t="shared" si="48"/>
        <v>0</v>
      </c>
      <c r="J120" s="19" t="str">
        <f t="shared" si="49"/>
        <v/>
      </c>
    </row>
    <row r="121" spans="1:10" x14ac:dyDescent="0.3">
      <c r="A121" s="35" t="s">
        <v>32</v>
      </c>
      <c r="B121" s="12"/>
      <c r="C121" s="20">
        <v>-4.0000000000000002E-4</v>
      </c>
      <c r="D121" s="34">
        <f>+B97</f>
        <v>142465</v>
      </c>
      <c r="E121" s="15">
        <f t="shared" si="52"/>
        <v>-56.986000000000004</v>
      </c>
      <c r="F121" s="21">
        <f>C121</f>
        <v>-4.0000000000000002E-4</v>
      </c>
      <c r="G121" s="100">
        <f>I98</f>
        <v>138618.44500000001</v>
      </c>
      <c r="H121" s="15">
        <f t="shared" si="53"/>
        <v>-55.447378000000008</v>
      </c>
      <c r="I121" s="18">
        <f t="shared" si="48"/>
        <v>1.5386219999999966</v>
      </c>
      <c r="J121" s="19">
        <f t="shared" si="49"/>
        <v>-2.6999999999999937E-2</v>
      </c>
    </row>
    <row r="122" spans="1:10" ht="26.4" x14ac:dyDescent="0.3">
      <c r="A122" s="39" t="s">
        <v>33</v>
      </c>
      <c r="B122" s="40"/>
      <c r="C122" s="41"/>
      <c r="D122" s="147"/>
      <c r="E122" s="43">
        <f>SUM(E113:E121)</f>
        <v>3275.8763999999996</v>
      </c>
      <c r="F122" s="44"/>
      <c r="G122" s="45"/>
      <c r="H122" s="43">
        <f>SUM(H113:H121)</f>
        <v>3392.4306932519989</v>
      </c>
      <c r="I122" s="30">
        <f>SUM(I113:I121)</f>
        <v>116.5542932519995</v>
      </c>
      <c r="J122" s="31">
        <f>IF((E122)=0,"",(I122/E122))</f>
        <v>3.5579575973012749E-2</v>
      </c>
    </row>
    <row r="123" spans="1:10" x14ac:dyDescent="0.3">
      <c r="A123" s="46" t="s">
        <v>34</v>
      </c>
      <c r="B123" s="12"/>
      <c r="C123" s="20">
        <v>2.3582000000000001</v>
      </c>
      <c r="D123" s="33">
        <f>IF($B$98&gt;0,$B$98,$B$97*$B$99)</f>
        <v>452</v>
      </c>
      <c r="E123" s="15">
        <f t="shared" ref="E123:E124" si="54">C123*D123</f>
        <v>1065.9064000000001</v>
      </c>
      <c r="F123" s="21">
        <f>C123</f>
        <v>2.3582000000000001</v>
      </c>
      <c r="G123" s="33">
        <f>IF($I$97&gt;0,$I$97,$B$97*$B$99)</f>
        <v>439.79599999999999</v>
      </c>
      <c r="H123" s="15">
        <f t="shared" ref="H123:H124" si="55">F123*G123</f>
        <v>1037.1269272</v>
      </c>
      <c r="I123" s="18">
        <f t="shared" ref="I123:I124" si="56">+H123-E123</f>
        <v>-28.779472800000121</v>
      </c>
      <c r="J123" s="19">
        <f t="shared" ref="J123:J124" si="57">IF(ISERROR(I123/E123),"",I123/E123)</f>
        <v>-2.7000000000000111E-2</v>
      </c>
    </row>
    <row r="124" spans="1:10" ht="26.4" x14ac:dyDescent="0.3">
      <c r="A124" s="47" t="s">
        <v>35</v>
      </c>
      <c r="B124" s="12"/>
      <c r="C124" s="20">
        <v>0</v>
      </c>
      <c r="D124" s="33">
        <f>IF($B$98&gt;0,$B$98,$B$97*$B$99)</f>
        <v>452</v>
      </c>
      <c r="E124" s="15">
        <f t="shared" si="54"/>
        <v>0</v>
      </c>
      <c r="F124" s="21">
        <v>0</v>
      </c>
      <c r="G124" s="33">
        <f>IF($I$97&gt;0,$I$97,$B$97*$B$99)</f>
        <v>439.79599999999999</v>
      </c>
      <c r="H124" s="15">
        <f t="shared" si="55"/>
        <v>0</v>
      </c>
      <c r="I124" s="18">
        <f t="shared" si="56"/>
        <v>0</v>
      </c>
      <c r="J124" s="19" t="str">
        <f t="shared" si="57"/>
        <v/>
      </c>
    </row>
    <row r="125" spans="1:10" ht="26.4" x14ac:dyDescent="0.3">
      <c r="A125" s="39" t="s">
        <v>36</v>
      </c>
      <c r="B125" s="24"/>
      <c r="C125" s="41"/>
      <c r="D125" s="42"/>
      <c r="E125" s="43">
        <f>SUM(E122:E124)</f>
        <v>4341.7828</v>
      </c>
      <c r="F125" s="44"/>
      <c r="G125" s="29"/>
      <c r="H125" s="43">
        <f>SUM(H122:H124)</f>
        <v>4429.5576204519984</v>
      </c>
      <c r="I125" s="30">
        <f>SUM(I122:I124)</f>
        <v>87.774820451999375</v>
      </c>
      <c r="J125" s="31">
        <f>IF((E125)=0,"",(I125/E125))</f>
        <v>2.0216308483233979E-2</v>
      </c>
    </row>
    <row r="126" spans="1:10" x14ac:dyDescent="0.3">
      <c r="A126" s="48" t="s">
        <v>37</v>
      </c>
      <c r="B126" s="12"/>
      <c r="C126" s="20">
        <v>3.3999999999999998E-3</v>
      </c>
      <c r="D126" s="33">
        <f>+B97*B99</f>
        <v>149317.56650000002</v>
      </c>
      <c r="E126" s="49">
        <f t="shared" ref="E126:E134" si="58">C126*D126</f>
        <v>507.67972610000004</v>
      </c>
      <c r="F126" s="21">
        <v>3.3999999999999998E-3</v>
      </c>
      <c r="G126" s="33">
        <f>+$I$98*$B$100</f>
        <v>145285.99220450001</v>
      </c>
      <c r="H126" s="49">
        <f t="shared" ref="H126:H134" si="59">F126*G126</f>
        <v>493.97237349530002</v>
      </c>
      <c r="I126" s="18">
        <f t="shared" ref="I126:I134" si="60">+H126-E126</f>
        <v>-13.70735260470002</v>
      </c>
      <c r="J126" s="19">
        <f t="shared" ref="J126:J134" si="61">IF(ISERROR(I126/E126),"",I126/E126)</f>
        <v>-2.7000000000000038E-2</v>
      </c>
    </row>
    <row r="127" spans="1:10" x14ac:dyDescent="0.3">
      <c r="A127" s="48" t="s">
        <v>38</v>
      </c>
      <c r="B127" s="12"/>
      <c r="C127" s="20">
        <v>5.0000000000000001E-4</v>
      </c>
      <c r="D127" s="33">
        <f>+B97*B99</f>
        <v>149317.56650000002</v>
      </c>
      <c r="E127" s="49">
        <f t="shared" si="58"/>
        <v>74.658783250000013</v>
      </c>
      <c r="F127" s="21">
        <v>5.0000000000000001E-4</v>
      </c>
      <c r="G127" s="33">
        <f>+$I$98*$B$100</f>
        <v>145285.99220450001</v>
      </c>
      <c r="H127" s="49">
        <f t="shared" si="59"/>
        <v>72.642996102250009</v>
      </c>
      <c r="I127" s="18">
        <f t="shared" si="60"/>
        <v>-2.0157871477500038</v>
      </c>
      <c r="J127" s="19">
        <f t="shared" si="61"/>
        <v>-2.7000000000000045E-2</v>
      </c>
    </row>
    <row r="128" spans="1:10" x14ac:dyDescent="0.3">
      <c r="A128" s="50" t="s">
        <v>39</v>
      </c>
      <c r="B128" s="12"/>
      <c r="C128" s="37">
        <v>0.25</v>
      </c>
      <c r="D128" s="14">
        <v>1</v>
      </c>
      <c r="E128" s="49">
        <f t="shared" si="58"/>
        <v>0.25</v>
      </c>
      <c r="F128" s="38">
        <v>0.25</v>
      </c>
      <c r="G128" s="17">
        <v>1</v>
      </c>
      <c r="H128" s="49">
        <f t="shared" si="59"/>
        <v>0.25</v>
      </c>
      <c r="I128" s="18">
        <f t="shared" si="60"/>
        <v>0</v>
      </c>
      <c r="J128" s="19">
        <f t="shared" si="61"/>
        <v>0</v>
      </c>
    </row>
    <row r="129" spans="1:10" ht="26.4" hidden="1" x14ac:dyDescent="0.3">
      <c r="A129" s="48" t="s">
        <v>40</v>
      </c>
      <c r="B129" s="12"/>
      <c r="C129" s="20"/>
      <c r="D129" s="33"/>
      <c r="E129" s="49">
        <f t="shared" si="58"/>
        <v>0</v>
      </c>
      <c r="F129" s="21"/>
      <c r="G129" s="33"/>
      <c r="H129" s="49">
        <f t="shared" si="59"/>
        <v>0</v>
      </c>
      <c r="I129" s="18">
        <f t="shared" si="60"/>
        <v>0</v>
      </c>
      <c r="J129" s="19" t="str">
        <f t="shared" si="61"/>
        <v/>
      </c>
    </row>
    <row r="130" spans="1:10" hidden="1" x14ac:dyDescent="0.3">
      <c r="A130" s="51" t="s">
        <v>41</v>
      </c>
      <c r="B130" s="12"/>
      <c r="C130" s="52">
        <f>C36</f>
        <v>0.10100000000000001</v>
      </c>
      <c r="D130" s="53">
        <v>0</v>
      </c>
      <c r="E130" s="49">
        <f t="shared" si="58"/>
        <v>0</v>
      </c>
      <c r="F130" s="54">
        <f>C130</f>
        <v>0.10100000000000001</v>
      </c>
      <c r="G130" s="53">
        <v>0</v>
      </c>
      <c r="H130" s="49">
        <f t="shared" si="59"/>
        <v>0</v>
      </c>
      <c r="I130" s="18">
        <f t="shared" si="60"/>
        <v>0</v>
      </c>
      <c r="J130" s="19" t="str">
        <f t="shared" si="61"/>
        <v/>
      </c>
    </row>
    <row r="131" spans="1:10" hidden="1" x14ac:dyDescent="0.3">
      <c r="A131" s="51" t="s">
        <v>42</v>
      </c>
      <c r="B131" s="12"/>
      <c r="C131" s="52">
        <f t="shared" ref="C131:C134" si="62">C37</f>
        <v>0.14399999999999999</v>
      </c>
      <c r="D131" s="53">
        <v>0</v>
      </c>
      <c r="E131" s="49">
        <f t="shared" si="58"/>
        <v>0</v>
      </c>
      <c r="F131" s="54">
        <f t="shared" ref="F131:F132" si="63">C131</f>
        <v>0.14399999999999999</v>
      </c>
      <c r="G131" s="53">
        <v>0</v>
      </c>
      <c r="H131" s="49">
        <f t="shared" si="59"/>
        <v>0</v>
      </c>
      <c r="I131" s="18">
        <f t="shared" si="60"/>
        <v>0</v>
      </c>
      <c r="J131" s="19" t="str">
        <f t="shared" si="61"/>
        <v/>
      </c>
    </row>
    <row r="132" spans="1:10" hidden="1" x14ac:dyDescent="0.3">
      <c r="A132" s="3" t="s">
        <v>43</v>
      </c>
      <c r="B132" s="12"/>
      <c r="C132" s="52">
        <f t="shared" si="62"/>
        <v>0.20799999999999999</v>
      </c>
      <c r="D132" s="53">
        <v>0</v>
      </c>
      <c r="E132" s="49">
        <f t="shared" si="58"/>
        <v>0</v>
      </c>
      <c r="F132" s="54">
        <f t="shared" si="63"/>
        <v>0.20799999999999999</v>
      </c>
      <c r="G132" s="53">
        <v>0</v>
      </c>
      <c r="H132" s="49">
        <f t="shared" si="59"/>
        <v>0</v>
      </c>
      <c r="I132" s="18">
        <f t="shared" si="60"/>
        <v>0</v>
      </c>
      <c r="J132" s="19" t="str">
        <f t="shared" si="61"/>
        <v/>
      </c>
    </row>
    <row r="133" spans="1:10" hidden="1" x14ac:dyDescent="0.3">
      <c r="A133" s="51" t="s">
        <v>44</v>
      </c>
      <c r="B133" s="12"/>
      <c r="C133" s="52">
        <f t="shared" si="62"/>
        <v>0.1101</v>
      </c>
      <c r="D133" s="14">
        <f>IF($B$98&gt;0,$B$98,$B$97)</f>
        <v>452</v>
      </c>
      <c r="E133" s="49">
        <f t="shared" si="58"/>
        <v>49.7652</v>
      </c>
      <c r="F133" s="56">
        <v>0.1101</v>
      </c>
      <c r="G133" s="53">
        <f t="shared" ref="G133" si="64">+$I$3</f>
        <v>53.515000000000001</v>
      </c>
      <c r="H133" s="49">
        <f t="shared" si="59"/>
        <v>5.8920015000000001</v>
      </c>
      <c r="I133" s="18">
        <f t="shared" si="60"/>
        <v>-43.873198500000001</v>
      </c>
      <c r="J133" s="19">
        <f t="shared" si="61"/>
        <v>-0.88160398230088499</v>
      </c>
    </row>
    <row r="134" spans="1:10" ht="15" thickBot="1" x14ac:dyDescent="0.35">
      <c r="A134" s="51" t="s">
        <v>45</v>
      </c>
      <c r="B134" s="12"/>
      <c r="C134" s="52">
        <f t="shared" si="62"/>
        <v>0.1101</v>
      </c>
      <c r="D134" s="53">
        <f>+B97*B99</f>
        <v>149317.56650000002</v>
      </c>
      <c r="E134" s="49">
        <f t="shared" si="58"/>
        <v>16439.864071650001</v>
      </c>
      <c r="F134" s="56">
        <f>C134</f>
        <v>0.1101</v>
      </c>
      <c r="G134" s="53">
        <f>+$I$98*$B$100</f>
        <v>145285.99220450001</v>
      </c>
      <c r="H134" s="49">
        <f t="shared" si="59"/>
        <v>15995.987741715451</v>
      </c>
      <c r="I134" s="18">
        <f t="shared" si="60"/>
        <v>-443.87632993455009</v>
      </c>
      <c r="J134" s="19">
        <f t="shared" si="61"/>
        <v>-2.7000000000000003E-2</v>
      </c>
    </row>
    <row r="135" spans="1:10" ht="15" thickBot="1" x14ac:dyDescent="0.35">
      <c r="A135" s="57"/>
      <c r="B135" s="58"/>
      <c r="C135" s="59"/>
      <c r="D135" s="60"/>
      <c r="E135" s="61"/>
      <c r="F135" s="59"/>
      <c r="G135" s="62"/>
      <c r="H135" s="61"/>
      <c r="I135" s="63"/>
      <c r="J135" s="64"/>
    </row>
    <row r="136" spans="1:10" x14ac:dyDescent="0.3">
      <c r="A136" s="65" t="s">
        <v>46</v>
      </c>
      <c r="B136" s="50"/>
      <c r="C136" s="66"/>
      <c r="D136" s="67"/>
      <c r="E136" s="68">
        <f>SUM(E134,E125:E132)</f>
        <v>21364.235381000002</v>
      </c>
      <c r="F136" s="69"/>
      <c r="G136" s="69"/>
      <c r="H136" s="68">
        <f>SUM(H134,H125:H132)</f>
        <v>20992.410731765001</v>
      </c>
      <c r="I136" s="68">
        <f>SUM(I134,I125:I132)</f>
        <v>-371.82464923500072</v>
      </c>
      <c r="J136" s="71">
        <f t="shared" ref="J136:J137" si="65">IF((E136)=0,"",(I136/E136))</f>
        <v>-1.7404070054652086E-2</v>
      </c>
    </row>
    <row r="137" spans="1:10" x14ac:dyDescent="0.3">
      <c r="A137" s="72" t="s">
        <v>47</v>
      </c>
      <c r="B137" s="50"/>
      <c r="C137" s="66">
        <v>0.13</v>
      </c>
      <c r="D137" s="73"/>
      <c r="E137" s="74">
        <f>+E136*C137</f>
        <v>2777.3505995300002</v>
      </c>
      <c r="F137" s="75">
        <v>0.13</v>
      </c>
      <c r="G137" s="14"/>
      <c r="H137" s="74">
        <f>+H136*F137</f>
        <v>2729.0133951294501</v>
      </c>
      <c r="I137" s="76">
        <f>+I136*F137</f>
        <v>-48.337204400550092</v>
      </c>
      <c r="J137" s="77">
        <f t="shared" si="65"/>
        <v>-1.7404070054652086E-2</v>
      </c>
    </row>
    <row r="138" spans="1:10" x14ac:dyDescent="0.3">
      <c r="A138" s="72"/>
      <c r="B138" s="50"/>
      <c r="C138" s="66"/>
      <c r="D138" s="73"/>
      <c r="E138" s="74"/>
      <c r="F138" s="66"/>
      <c r="G138" s="14"/>
      <c r="H138" s="74"/>
      <c r="I138" s="76"/>
      <c r="J138" s="77"/>
    </row>
    <row r="139" spans="1:10" ht="15" thickBot="1" x14ac:dyDescent="0.35">
      <c r="A139" s="212" t="s">
        <v>48</v>
      </c>
      <c r="B139" s="212"/>
      <c r="C139" s="78"/>
      <c r="D139" s="79"/>
      <c r="E139" s="80">
        <f>+E136+E137+E138</f>
        <v>24141.585980530002</v>
      </c>
      <c r="F139" s="81"/>
      <c r="G139" s="81"/>
      <c r="H139" s="82">
        <f>+H136+H137+H138</f>
        <v>23721.424126894453</v>
      </c>
      <c r="I139" s="83">
        <f>+I136+I137+I138</f>
        <v>-420.16185363555081</v>
      </c>
      <c r="J139" s="84">
        <f>IF((E139)=0,"",(I139/E139))</f>
        <v>-1.7404070054652086E-2</v>
      </c>
    </row>
    <row r="140" spans="1:10" ht="15" thickBot="1" x14ac:dyDescent="0.35">
      <c r="A140" s="57"/>
      <c r="B140" s="58"/>
      <c r="C140" s="59"/>
      <c r="D140" s="60"/>
      <c r="E140" s="61"/>
      <c r="F140" s="59"/>
      <c r="G140" s="62"/>
      <c r="H140" s="61"/>
      <c r="I140" s="63"/>
      <c r="J140" s="64"/>
    </row>
    <row r="142" spans="1:10" x14ac:dyDescent="0.3">
      <c r="A142" s="1" t="s">
        <v>0</v>
      </c>
      <c r="B142" s="213" t="s">
        <v>52</v>
      </c>
      <c r="C142" s="200"/>
      <c r="D142" s="200"/>
      <c r="E142" s="200"/>
      <c r="F142" s="200"/>
      <c r="G142" s="200"/>
      <c r="H142" s="2" t="s">
        <v>2</v>
      </c>
      <c r="I142" s="2"/>
      <c r="J142" s="2"/>
    </row>
    <row r="143" spans="1:10" x14ac:dyDescent="0.3">
      <c r="A143" s="85" t="s">
        <v>3</v>
      </c>
      <c r="B143" s="201" t="s">
        <v>53</v>
      </c>
      <c r="C143" s="201"/>
      <c r="D143" s="201"/>
      <c r="E143" s="86"/>
      <c r="F143" s="86"/>
      <c r="G143" s="87"/>
      <c r="H143" s="87"/>
      <c r="I143" s="87"/>
      <c r="J143" s="87"/>
    </row>
    <row r="144" spans="1:10" ht="16.2" thickBot="1" x14ac:dyDescent="0.35">
      <c r="A144" s="85" t="s">
        <v>5</v>
      </c>
      <c r="B144" s="134">
        <v>169620</v>
      </c>
      <c r="C144" s="127" t="s">
        <v>91</v>
      </c>
      <c r="D144" s="90"/>
      <c r="E144" s="98" t="s">
        <v>49</v>
      </c>
      <c r="F144" s="96">
        <f>F3</f>
        <v>2.7E-2</v>
      </c>
      <c r="G144" s="91"/>
      <c r="H144" s="97" t="s">
        <v>50</v>
      </c>
      <c r="I144" s="99">
        <f>B145*(1-F144)</f>
        <v>455.36399999999998</v>
      </c>
      <c r="J144" s="91"/>
    </row>
    <row r="145" spans="1:10" ht="16.2" thickBot="1" x14ac:dyDescent="0.35">
      <c r="A145" s="85" t="s">
        <v>7</v>
      </c>
      <c r="B145" s="135">
        <v>468</v>
      </c>
      <c r="C145" s="128" t="s">
        <v>92</v>
      </c>
      <c r="D145" s="93"/>
      <c r="E145" s="94"/>
      <c r="F145" s="94"/>
      <c r="G145" s="91"/>
      <c r="H145" s="97" t="s">
        <v>50</v>
      </c>
      <c r="I145" s="99">
        <f>B144*(1-F144)</f>
        <v>165040.26</v>
      </c>
      <c r="J145" s="87"/>
    </row>
    <row r="146" spans="1:10" x14ac:dyDescent="0.3">
      <c r="A146" s="85" t="s">
        <v>9</v>
      </c>
      <c r="B146" s="95">
        <v>1.0481</v>
      </c>
      <c r="C146" s="87"/>
      <c r="D146" s="87"/>
      <c r="E146" s="87" t="s">
        <v>98</v>
      </c>
      <c r="F146" s="96">
        <f>Residential!F5</f>
        <v>1.9E-2</v>
      </c>
      <c r="G146" s="87"/>
      <c r="H146" s="87"/>
      <c r="I146" s="142"/>
      <c r="J146" s="87"/>
    </row>
    <row r="147" spans="1:10" x14ac:dyDescent="0.3">
      <c r="A147" s="1" t="s">
        <v>10</v>
      </c>
      <c r="B147" s="4">
        <v>1.0481</v>
      </c>
      <c r="C147" s="2"/>
      <c r="D147" s="119"/>
      <c r="E147" s="2"/>
      <c r="F147" s="2"/>
      <c r="G147" s="2"/>
      <c r="H147" s="2"/>
      <c r="I147" s="2"/>
      <c r="J147" s="2"/>
    </row>
    <row r="148" spans="1:10" x14ac:dyDescent="0.3">
      <c r="A148" s="3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3">
      <c r="A149" s="3"/>
      <c r="B149" s="5"/>
      <c r="C149" s="202" t="s">
        <v>95</v>
      </c>
      <c r="D149" s="203"/>
      <c r="E149" s="204"/>
      <c r="F149" s="205" t="s">
        <v>54</v>
      </c>
      <c r="G149" s="203"/>
      <c r="H149" s="204"/>
      <c r="I149" s="202" t="s">
        <v>11</v>
      </c>
      <c r="J149" s="204"/>
    </row>
    <row r="150" spans="1:10" x14ac:dyDescent="0.3">
      <c r="A150" s="3"/>
      <c r="B150" s="206"/>
      <c r="C150" s="6" t="s">
        <v>12</v>
      </c>
      <c r="D150" s="6" t="s">
        <v>13</v>
      </c>
      <c r="E150" s="7" t="s">
        <v>14</v>
      </c>
      <c r="F150" s="6" t="s">
        <v>12</v>
      </c>
      <c r="G150" s="8" t="s">
        <v>13</v>
      </c>
      <c r="H150" s="7" t="s">
        <v>14</v>
      </c>
      <c r="I150" s="208" t="s">
        <v>15</v>
      </c>
      <c r="J150" s="210" t="s">
        <v>16</v>
      </c>
    </row>
    <row r="151" spans="1:10" x14ac:dyDescent="0.3">
      <c r="A151" s="3"/>
      <c r="B151" s="207"/>
      <c r="C151" s="9" t="s">
        <v>17</v>
      </c>
      <c r="D151" s="9"/>
      <c r="E151" s="10" t="s">
        <v>17</v>
      </c>
      <c r="F151" s="9" t="s">
        <v>17</v>
      </c>
      <c r="G151" s="10"/>
      <c r="H151" s="10" t="s">
        <v>17</v>
      </c>
      <c r="I151" s="209"/>
      <c r="J151" s="211"/>
    </row>
    <row r="152" spans="1:10" x14ac:dyDescent="0.3">
      <c r="A152" s="11" t="s">
        <v>18</v>
      </c>
      <c r="B152" s="12"/>
      <c r="C152" s="13">
        <f>C11</f>
        <v>119.45</v>
      </c>
      <c r="D152" s="14">
        <v>1</v>
      </c>
      <c r="E152" s="15">
        <f>C152*D152</f>
        <v>119.45</v>
      </c>
      <c r="F152" s="16">
        <f>F11</f>
        <v>121.71955</v>
      </c>
      <c r="G152" s="17">
        <v>1</v>
      </c>
      <c r="H152" s="15">
        <f>F152*G152</f>
        <v>121.71955</v>
      </c>
      <c r="I152" s="18">
        <f>+H152-E152</f>
        <v>2.2695499999999953</v>
      </c>
      <c r="J152" s="19">
        <f>IF(ISERROR(I152/E152),"",I152/E152)</f>
        <v>1.8999999999999961E-2</v>
      </c>
    </row>
    <row r="153" spans="1:10" x14ac:dyDescent="0.3">
      <c r="A153" s="11" t="s">
        <v>19</v>
      </c>
      <c r="B153" s="12"/>
      <c r="C153" s="13">
        <f>C12</f>
        <v>7.0229999999999997</v>
      </c>
      <c r="D153" s="14">
        <f>IF($B$145&gt;0,$B$145,$B$144)</f>
        <v>468</v>
      </c>
      <c r="E153" s="15">
        <f t="shared" ref="E153:E159" si="66">C153*D153</f>
        <v>3286.7639999999997</v>
      </c>
      <c r="F153" s="16">
        <f>F12</f>
        <v>7.1564369999999986</v>
      </c>
      <c r="G153" s="100">
        <f>+$I$144</f>
        <v>455.36399999999998</v>
      </c>
      <c r="H153" s="15">
        <f t="shared" ref="H153:H159" si="67">F153*G153</f>
        <v>3258.7837780679993</v>
      </c>
      <c r="I153" s="18">
        <f t="shared" ref="I153:I159" si="68">+H153-E153</f>
        <v>-27.980221932000404</v>
      </c>
      <c r="J153" s="19">
        <f t="shared" ref="J153:J159" si="69">IF(ISERROR(I153/E153),"",I153/E153)</f>
        <v>-8.5130000000001246E-3</v>
      </c>
    </row>
    <row r="154" spans="1:10" x14ac:dyDescent="0.3">
      <c r="A154" s="11" t="s">
        <v>20</v>
      </c>
      <c r="B154" s="12"/>
      <c r="C154" s="20">
        <v>0</v>
      </c>
      <c r="D154" s="14">
        <f>IF($B$145&gt;0,$B$145,$B$144)</f>
        <v>468</v>
      </c>
      <c r="E154" s="15">
        <f t="shared" si="66"/>
        <v>0</v>
      </c>
      <c r="F154" s="21"/>
      <c r="G154" s="100">
        <f>+$I$144</f>
        <v>455.36399999999998</v>
      </c>
      <c r="H154" s="15">
        <f t="shared" si="67"/>
        <v>0</v>
      </c>
      <c r="I154" s="18">
        <f t="shared" si="68"/>
        <v>0</v>
      </c>
      <c r="J154" s="19" t="str">
        <f t="shared" si="69"/>
        <v/>
      </c>
    </row>
    <row r="155" spans="1:10" x14ac:dyDescent="0.3">
      <c r="A155" s="11" t="s">
        <v>21</v>
      </c>
      <c r="B155" s="12"/>
      <c r="C155" s="20">
        <v>0</v>
      </c>
      <c r="D155" s="14">
        <f>IF($B$145&gt;0,$B$145,$B$144)</f>
        <v>468</v>
      </c>
      <c r="E155" s="15">
        <f t="shared" si="66"/>
        <v>0</v>
      </c>
      <c r="F155" s="21"/>
      <c r="G155" s="100">
        <f>+$I$144</f>
        <v>455.36399999999998</v>
      </c>
      <c r="H155" s="15">
        <f t="shared" si="67"/>
        <v>0</v>
      </c>
      <c r="I155" s="18">
        <f t="shared" si="68"/>
        <v>0</v>
      </c>
      <c r="J155" s="19" t="str">
        <f t="shared" si="69"/>
        <v/>
      </c>
    </row>
    <row r="156" spans="1:10" x14ac:dyDescent="0.3">
      <c r="A156" s="22" t="s">
        <v>22</v>
      </c>
      <c r="B156" s="12"/>
      <c r="C156" s="13">
        <v>1.41</v>
      </c>
      <c r="D156" s="14">
        <v>1</v>
      </c>
      <c r="E156" s="15">
        <f t="shared" si="66"/>
        <v>1.41</v>
      </c>
      <c r="F156" s="16">
        <f>C156</f>
        <v>1.41</v>
      </c>
      <c r="G156" s="17">
        <v>1</v>
      </c>
      <c r="H156" s="15">
        <f t="shared" si="67"/>
        <v>1.41</v>
      </c>
      <c r="I156" s="18">
        <f t="shared" si="68"/>
        <v>0</v>
      </c>
      <c r="J156" s="19">
        <f t="shared" si="69"/>
        <v>0</v>
      </c>
    </row>
    <row r="157" spans="1:10" x14ac:dyDescent="0.3">
      <c r="A157" s="35" t="s">
        <v>80</v>
      </c>
      <c r="B157" s="12"/>
      <c r="C157" s="13">
        <v>0</v>
      </c>
      <c r="D157" s="14">
        <v>1</v>
      </c>
      <c r="E157" s="15">
        <f t="shared" si="66"/>
        <v>0</v>
      </c>
      <c r="F157" s="16">
        <f>F16</f>
        <v>5.24</v>
      </c>
      <c r="G157" s="14">
        <v>1</v>
      </c>
      <c r="H157" s="15">
        <f t="shared" si="67"/>
        <v>5.24</v>
      </c>
      <c r="I157" s="18">
        <f t="shared" si="68"/>
        <v>5.24</v>
      </c>
      <c r="J157" s="19" t="str">
        <f t="shared" si="69"/>
        <v/>
      </c>
    </row>
    <row r="158" spans="1:10" x14ac:dyDescent="0.3">
      <c r="A158" s="35" t="s">
        <v>81</v>
      </c>
      <c r="B158" s="12"/>
      <c r="C158" s="20">
        <v>0</v>
      </c>
      <c r="D158" s="14">
        <f>IF($B$145&gt;0,$B$145,$B$144)</f>
        <v>468</v>
      </c>
      <c r="E158" s="15">
        <f t="shared" si="66"/>
        <v>0</v>
      </c>
      <c r="F158" s="16">
        <f>F17</f>
        <v>0.30819999999999997</v>
      </c>
      <c r="G158" s="100">
        <f>+$I$144</f>
        <v>455.36399999999998</v>
      </c>
      <c r="H158" s="15">
        <f t="shared" si="67"/>
        <v>140.34318479999999</v>
      </c>
      <c r="I158" s="18">
        <f t="shared" si="68"/>
        <v>140.34318479999999</v>
      </c>
      <c r="J158" s="19" t="str">
        <f t="shared" si="69"/>
        <v/>
      </c>
    </row>
    <row r="159" spans="1:10" x14ac:dyDescent="0.3">
      <c r="A159" s="22" t="s">
        <v>23</v>
      </c>
      <c r="B159" s="143"/>
      <c r="C159" s="52">
        <v>8.3199999999999996E-2</v>
      </c>
      <c r="D159" s="14">
        <f>IF($B$145&gt;0,$B$145,$B$144)</f>
        <v>468</v>
      </c>
      <c r="E159" s="144">
        <f t="shared" si="66"/>
        <v>38.937599999999996</v>
      </c>
      <c r="F159" s="54">
        <f>C159</f>
        <v>8.3199999999999996E-2</v>
      </c>
      <c r="G159" s="100">
        <f>+$I$144</f>
        <v>455.36399999999998</v>
      </c>
      <c r="H159" s="144">
        <f t="shared" si="67"/>
        <v>37.886284799999999</v>
      </c>
      <c r="I159" s="76">
        <f t="shared" si="68"/>
        <v>-1.0513151999999977</v>
      </c>
      <c r="J159" s="145">
        <f t="shared" si="69"/>
        <v>-2.6999999999999944E-2</v>
      </c>
    </row>
    <row r="160" spans="1:10" x14ac:dyDescent="0.3">
      <c r="A160" s="23" t="s">
        <v>24</v>
      </c>
      <c r="B160" s="24"/>
      <c r="C160" s="25"/>
      <c r="D160" s="26"/>
      <c r="E160" s="27">
        <f>SUM(E152:E159)</f>
        <v>3446.5615999999995</v>
      </c>
      <c r="F160" s="28"/>
      <c r="G160" s="29"/>
      <c r="H160" s="27">
        <f>SUM(H152:H159)</f>
        <v>3565.3827976679986</v>
      </c>
      <c r="I160" s="30">
        <f>SUM(I152:I159)</f>
        <v>118.82119766799957</v>
      </c>
      <c r="J160" s="31">
        <f>IF((E160)=0,"",(I160/E160))</f>
        <v>3.4475286229614925E-2</v>
      </c>
    </row>
    <row r="161" spans="1:10" x14ac:dyDescent="0.3">
      <c r="A161" s="32" t="s">
        <v>25</v>
      </c>
      <c r="B161" s="12"/>
      <c r="C161" s="20">
        <v>0</v>
      </c>
      <c r="D161" s="33">
        <f>IF(C161=0,0,$B$3*B146-B144)</f>
        <v>0</v>
      </c>
      <c r="E161" s="15">
        <f>C161*D161</f>
        <v>0</v>
      </c>
      <c r="F161" s="21">
        <v>0</v>
      </c>
      <c r="G161" s="33">
        <f>IF(F161=0,0,$I$3*B147-I144)</f>
        <v>0</v>
      </c>
      <c r="H161" s="15">
        <f t="shared" ref="H161" si="70">F161*G161</f>
        <v>0</v>
      </c>
      <c r="I161" s="18">
        <f t="shared" ref="I161:I168" si="71">+H161-E161</f>
        <v>0</v>
      </c>
      <c r="J161" s="19" t="str">
        <f t="shared" ref="J161:J168" si="72">IF(ISERROR(I161/E161),"",I161/E161)</f>
        <v/>
      </c>
    </row>
    <row r="162" spans="1:10" x14ac:dyDescent="0.3">
      <c r="A162" s="32" t="s">
        <v>26</v>
      </c>
      <c r="B162" s="143"/>
      <c r="C162" s="52">
        <v>0</v>
      </c>
      <c r="D162" s="14">
        <f>IF($B$145&gt;0,$B$145,$B$144)</f>
        <v>468</v>
      </c>
      <c r="E162" s="144">
        <v>0</v>
      </c>
      <c r="F162" s="54">
        <f>C162</f>
        <v>0</v>
      </c>
      <c r="G162" s="100">
        <f>+$I$144</f>
        <v>455.36399999999998</v>
      </c>
      <c r="H162" s="144">
        <v>0</v>
      </c>
      <c r="I162" s="76">
        <f t="shared" si="71"/>
        <v>0</v>
      </c>
      <c r="J162" s="145" t="str">
        <f t="shared" si="72"/>
        <v/>
      </c>
    </row>
    <row r="163" spans="1:10" x14ac:dyDescent="0.3">
      <c r="A163" s="32" t="s">
        <v>27</v>
      </c>
      <c r="B163" s="12"/>
      <c r="C163" s="20">
        <v>0</v>
      </c>
      <c r="D163" s="14">
        <f>IF($B$145&gt;0,$B$145,$B$144)</f>
        <v>468</v>
      </c>
      <c r="E163" s="15">
        <f t="shared" ref="E163" si="73">C163*D163</f>
        <v>0</v>
      </c>
      <c r="F163" s="21">
        <v>0</v>
      </c>
      <c r="G163" s="100">
        <f>+$I$144</f>
        <v>455.36399999999998</v>
      </c>
      <c r="H163" s="15">
        <f t="shared" ref="H163" si="74">F163*G163</f>
        <v>0</v>
      </c>
      <c r="I163" s="18">
        <f t="shared" si="71"/>
        <v>0</v>
      </c>
      <c r="J163" s="19" t="str">
        <f t="shared" si="72"/>
        <v/>
      </c>
    </row>
    <row r="164" spans="1:10" x14ac:dyDescent="0.3">
      <c r="A164" s="32" t="s">
        <v>28</v>
      </c>
      <c r="B164" s="143"/>
      <c r="C164" s="52"/>
      <c r="D164" s="34">
        <f>+B144</f>
        <v>169620</v>
      </c>
      <c r="E164" s="144">
        <v>0</v>
      </c>
      <c r="F164" s="54">
        <f>C164</f>
        <v>0</v>
      </c>
      <c r="G164" s="100">
        <f>+I145</f>
        <v>165040.26</v>
      </c>
      <c r="H164" s="144">
        <v>0</v>
      </c>
      <c r="I164" s="76">
        <f t="shared" si="71"/>
        <v>0</v>
      </c>
      <c r="J164" s="145" t="str">
        <f t="shared" si="72"/>
        <v/>
      </c>
    </row>
    <row r="165" spans="1:10" x14ac:dyDescent="0.3">
      <c r="A165" s="35" t="s">
        <v>29</v>
      </c>
      <c r="B165" s="12"/>
      <c r="C165" s="20">
        <v>0</v>
      </c>
      <c r="D165" s="14">
        <f>IF($B$145&gt;0,$B$145,$B$144)</f>
        <v>468</v>
      </c>
      <c r="E165" s="15">
        <f t="shared" ref="E165:E168" si="75">C165*D165</f>
        <v>0</v>
      </c>
      <c r="F165" s="21"/>
      <c r="G165" s="100">
        <f>+$I$144</f>
        <v>455.36399999999998</v>
      </c>
      <c r="H165" s="15">
        <f t="shared" ref="H165:H168" si="76">F165*G165</f>
        <v>0</v>
      </c>
      <c r="I165" s="18">
        <f t="shared" si="71"/>
        <v>0</v>
      </c>
      <c r="J165" s="19" t="str">
        <f t="shared" si="72"/>
        <v/>
      </c>
    </row>
    <row r="166" spans="1:10" x14ac:dyDescent="0.3">
      <c r="A166" s="36" t="s">
        <v>30</v>
      </c>
      <c r="B166" s="12"/>
      <c r="C166" s="37">
        <v>0</v>
      </c>
      <c r="D166" s="14">
        <v>1</v>
      </c>
      <c r="E166" s="15">
        <f t="shared" si="75"/>
        <v>0</v>
      </c>
      <c r="F166" s="38">
        <v>0</v>
      </c>
      <c r="G166" s="14">
        <v>1</v>
      </c>
      <c r="H166" s="15">
        <f t="shared" si="76"/>
        <v>0</v>
      </c>
      <c r="I166" s="18">
        <f t="shared" si="71"/>
        <v>0</v>
      </c>
      <c r="J166" s="19" t="str">
        <f t="shared" si="72"/>
        <v/>
      </c>
    </row>
    <row r="167" spans="1:10" x14ac:dyDescent="0.3">
      <c r="A167" s="35" t="s">
        <v>31</v>
      </c>
      <c r="B167" s="12"/>
      <c r="C167" s="13">
        <v>0</v>
      </c>
      <c r="D167" s="14">
        <v>1</v>
      </c>
      <c r="E167" s="15">
        <f t="shared" si="75"/>
        <v>0</v>
      </c>
      <c r="F167" s="16">
        <v>0</v>
      </c>
      <c r="G167" s="14">
        <v>1</v>
      </c>
      <c r="H167" s="15">
        <f t="shared" si="76"/>
        <v>0</v>
      </c>
      <c r="I167" s="18">
        <f t="shared" si="71"/>
        <v>0</v>
      </c>
      <c r="J167" s="19" t="str">
        <f t="shared" si="72"/>
        <v/>
      </c>
    </row>
    <row r="168" spans="1:10" x14ac:dyDescent="0.3">
      <c r="A168" s="35" t="s">
        <v>32</v>
      </c>
      <c r="B168" s="12"/>
      <c r="C168" s="20">
        <v>-4.0000000000000002E-4</v>
      </c>
      <c r="D168" s="34">
        <f>+B144</f>
        <v>169620</v>
      </c>
      <c r="E168" s="15">
        <f t="shared" si="75"/>
        <v>-67.847999999999999</v>
      </c>
      <c r="F168" s="21">
        <f>C168</f>
        <v>-4.0000000000000002E-4</v>
      </c>
      <c r="G168" s="100">
        <f>I145</f>
        <v>165040.26</v>
      </c>
      <c r="H168" s="15">
        <f t="shared" si="76"/>
        <v>-66.016104000000013</v>
      </c>
      <c r="I168" s="18">
        <f t="shared" si="71"/>
        <v>1.8318959999999862</v>
      </c>
      <c r="J168" s="19">
        <f t="shared" si="72"/>
        <v>-2.6999999999999798E-2</v>
      </c>
    </row>
    <row r="169" spans="1:10" ht="26.4" x14ac:dyDescent="0.3">
      <c r="A169" s="39" t="s">
        <v>33</v>
      </c>
      <c r="B169" s="40"/>
      <c r="C169" s="41"/>
      <c r="D169" s="147"/>
      <c r="E169" s="43">
        <f>SUM(E160:E168)</f>
        <v>3378.7135999999996</v>
      </c>
      <c r="F169" s="44"/>
      <c r="G169" s="45"/>
      <c r="H169" s="43">
        <f>SUM(H160:H168)</f>
        <v>3499.3666936679988</v>
      </c>
      <c r="I169" s="30">
        <f>SUM(I160:I168)</f>
        <v>120.65309366799956</v>
      </c>
      <c r="J169" s="31">
        <f>IF((E169)=0,"",(I169/E169))</f>
        <v>3.5709772402135409E-2</v>
      </c>
    </row>
    <row r="170" spans="1:10" x14ac:dyDescent="0.3">
      <c r="A170" s="46" t="s">
        <v>34</v>
      </c>
      <c r="B170" s="12"/>
      <c r="C170" s="20">
        <v>2.3582000000000001</v>
      </c>
      <c r="D170" s="33">
        <f>IF($B$145&gt;0,$B$145,$B$143*$B$146)</f>
        <v>468</v>
      </c>
      <c r="E170" s="15">
        <f t="shared" ref="E170:E171" si="77">C170*D170</f>
        <v>1103.6376</v>
      </c>
      <c r="F170" s="21">
        <f>C170</f>
        <v>2.3582000000000001</v>
      </c>
      <c r="G170" s="33">
        <f>IF($I$144&gt;0,$I$144,$B$144*$B$147)</f>
        <v>455.36399999999998</v>
      </c>
      <c r="H170" s="15">
        <f t="shared" ref="H170:H171" si="78">F170*G170</f>
        <v>1073.8393848000001</v>
      </c>
      <c r="I170" s="18">
        <f t="shared" ref="I170:I171" si="79">+H170-E170</f>
        <v>-29.798215199999959</v>
      </c>
      <c r="J170" s="19">
        <f t="shared" ref="J170:J171" si="80">IF(ISERROR(I170/E170),"",I170/E170)</f>
        <v>-2.6999999999999962E-2</v>
      </c>
    </row>
    <row r="171" spans="1:10" ht="26.4" x14ac:dyDescent="0.3">
      <c r="A171" s="47" t="s">
        <v>35</v>
      </c>
      <c r="B171" s="12"/>
      <c r="C171" s="20">
        <v>0</v>
      </c>
      <c r="D171" s="33">
        <f>IF($B$145&gt;0,$B$145,$B$143*$B$146)</f>
        <v>468</v>
      </c>
      <c r="E171" s="15">
        <f t="shared" si="77"/>
        <v>0</v>
      </c>
      <c r="F171" s="21">
        <v>0</v>
      </c>
      <c r="G171" s="33">
        <f>IF($I$144&gt;0,$I$144,$B$144*$B$147)</f>
        <v>455.36399999999998</v>
      </c>
      <c r="H171" s="15">
        <f t="shared" si="78"/>
        <v>0</v>
      </c>
      <c r="I171" s="18">
        <f t="shared" si="79"/>
        <v>0</v>
      </c>
      <c r="J171" s="19" t="str">
        <f t="shared" si="80"/>
        <v/>
      </c>
    </row>
    <row r="172" spans="1:10" ht="26.4" x14ac:dyDescent="0.3">
      <c r="A172" s="39" t="s">
        <v>36</v>
      </c>
      <c r="B172" s="24"/>
      <c r="C172" s="41"/>
      <c r="D172" s="42"/>
      <c r="E172" s="43">
        <f>SUM(E169:E171)</f>
        <v>4482.3511999999992</v>
      </c>
      <c r="F172" s="44"/>
      <c r="G172" s="29"/>
      <c r="H172" s="43">
        <f>SUM(H169:H171)</f>
        <v>4573.2060784679989</v>
      </c>
      <c r="I172" s="30">
        <f>SUM(I169:I171)</f>
        <v>90.854878467999598</v>
      </c>
      <c r="J172" s="31">
        <f>IF((E172)=0,"",(I172/E172))</f>
        <v>2.0269468949242444E-2</v>
      </c>
    </row>
    <row r="173" spans="1:10" x14ac:dyDescent="0.3">
      <c r="A173" s="48" t="s">
        <v>37</v>
      </c>
      <c r="B173" s="12"/>
      <c r="C173" s="20">
        <v>3.3999999999999998E-3</v>
      </c>
      <c r="D173" s="33">
        <f>+B144*B146</f>
        <v>177778.72200000001</v>
      </c>
      <c r="E173" s="49">
        <f t="shared" ref="E173:E181" si="81">C173*D173</f>
        <v>604.44765480000001</v>
      </c>
      <c r="F173" s="21">
        <v>3.3999999999999998E-3</v>
      </c>
      <c r="G173" s="33">
        <f>+$I$145*$B$147</f>
        <v>172978.69650600001</v>
      </c>
      <c r="H173" s="49">
        <f t="shared" ref="H173:H181" si="82">F173*G173</f>
        <v>588.12756812040004</v>
      </c>
      <c r="I173" s="18">
        <f t="shared" ref="I173:I181" si="83">+H173-E173</f>
        <v>-16.320086679599967</v>
      </c>
      <c r="J173" s="19">
        <f t="shared" ref="J173:J181" si="84">IF(ISERROR(I173/E173),"",I173/E173)</f>
        <v>-2.6999999999999944E-2</v>
      </c>
    </row>
    <row r="174" spans="1:10" x14ac:dyDescent="0.3">
      <c r="A174" s="48" t="s">
        <v>38</v>
      </c>
      <c r="B174" s="12"/>
      <c r="C174" s="20">
        <v>5.0000000000000001E-4</v>
      </c>
      <c r="D174" s="33">
        <f>+B144*B146</f>
        <v>177778.72200000001</v>
      </c>
      <c r="E174" s="49">
        <f t="shared" si="81"/>
        <v>88.889361000000008</v>
      </c>
      <c r="F174" s="21">
        <v>5.0000000000000001E-4</v>
      </c>
      <c r="G174" s="33">
        <f>+$I$145*$B$147</f>
        <v>172978.69650600001</v>
      </c>
      <c r="H174" s="49">
        <f t="shared" si="82"/>
        <v>86.489348253000003</v>
      </c>
      <c r="I174" s="18">
        <f t="shared" si="83"/>
        <v>-2.4000127470000052</v>
      </c>
      <c r="J174" s="19">
        <f t="shared" si="84"/>
        <v>-2.7000000000000055E-2</v>
      </c>
    </row>
    <row r="175" spans="1:10" x14ac:dyDescent="0.3">
      <c r="A175" s="50" t="s">
        <v>39</v>
      </c>
      <c r="B175" s="12"/>
      <c r="C175" s="37">
        <v>0.25</v>
      </c>
      <c r="D175" s="14">
        <v>1</v>
      </c>
      <c r="E175" s="49">
        <f t="shared" si="81"/>
        <v>0.25</v>
      </c>
      <c r="F175" s="38">
        <v>0.25</v>
      </c>
      <c r="G175" s="17">
        <v>1</v>
      </c>
      <c r="H175" s="49">
        <f t="shared" si="82"/>
        <v>0.25</v>
      </c>
      <c r="I175" s="18">
        <f t="shared" si="83"/>
        <v>0</v>
      </c>
      <c r="J175" s="19">
        <f t="shared" si="84"/>
        <v>0</v>
      </c>
    </row>
    <row r="176" spans="1:10" ht="26.4" hidden="1" x14ac:dyDescent="0.3">
      <c r="A176" s="48" t="s">
        <v>40</v>
      </c>
      <c r="B176" s="12"/>
      <c r="C176" s="20"/>
      <c r="D176" s="33"/>
      <c r="E176" s="49">
        <f t="shared" si="81"/>
        <v>0</v>
      </c>
      <c r="F176" s="21"/>
      <c r="G176" s="33"/>
      <c r="H176" s="49">
        <f t="shared" si="82"/>
        <v>0</v>
      </c>
      <c r="I176" s="18">
        <f t="shared" si="83"/>
        <v>0</v>
      </c>
      <c r="J176" s="19" t="str">
        <f t="shared" si="84"/>
        <v/>
      </c>
    </row>
    <row r="177" spans="1:10" hidden="1" x14ac:dyDescent="0.3">
      <c r="A177" s="51" t="s">
        <v>41</v>
      </c>
      <c r="B177" s="12"/>
      <c r="C177" s="173">
        <f>C36</f>
        <v>0.10100000000000001</v>
      </c>
      <c r="D177" s="53">
        <v>0</v>
      </c>
      <c r="E177" s="49">
        <f t="shared" si="81"/>
        <v>0</v>
      </c>
      <c r="F177" s="54">
        <f>C177</f>
        <v>0.10100000000000001</v>
      </c>
      <c r="G177" s="53">
        <v>0</v>
      </c>
      <c r="H177" s="49">
        <f t="shared" si="82"/>
        <v>0</v>
      </c>
      <c r="I177" s="18">
        <f t="shared" si="83"/>
        <v>0</v>
      </c>
      <c r="J177" s="19" t="str">
        <f t="shared" si="84"/>
        <v/>
      </c>
    </row>
    <row r="178" spans="1:10" hidden="1" x14ac:dyDescent="0.3">
      <c r="A178" s="51" t="s">
        <v>42</v>
      </c>
      <c r="B178" s="12"/>
      <c r="C178" s="173">
        <f t="shared" ref="C178:C181" si="85">C37</f>
        <v>0.14399999999999999</v>
      </c>
      <c r="D178" s="53">
        <v>0</v>
      </c>
      <c r="E178" s="49">
        <f t="shared" si="81"/>
        <v>0</v>
      </c>
      <c r="F178" s="54">
        <f t="shared" ref="F178:F179" si="86">C178</f>
        <v>0.14399999999999999</v>
      </c>
      <c r="G178" s="53">
        <v>0</v>
      </c>
      <c r="H178" s="49">
        <f t="shared" si="82"/>
        <v>0</v>
      </c>
      <c r="I178" s="18">
        <f t="shared" si="83"/>
        <v>0</v>
      </c>
      <c r="J178" s="19" t="str">
        <f t="shared" si="84"/>
        <v/>
      </c>
    </row>
    <row r="179" spans="1:10" hidden="1" x14ac:dyDescent="0.3">
      <c r="A179" s="3" t="s">
        <v>43</v>
      </c>
      <c r="B179" s="12"/>
      <c r="C179" s="173">
        <f t="shared" si="85"/>
        <v>0.20799999999999999</v>
      </c>
      <c r="D179" s="53">
        <v>0</v>
      </c>
      <c r="E179" s="49">
        <f t="shared" si="81"/>
        <v>0</v>
      </c>
      <c r="F179" s="54">
        <f t="shared" si="86"/>
        <v>0.20799999999999999</v>
      </c>
      <c r="G179" s="53">
        <v>0</v>
      </c>
      <c r="H179" s="49">
        <f t="shared" si="82"/>
        <v>0</v>
      </c>
      <c r="I179" s="18">
        <f t="shared" si="83"/>
        <v>0</v>
      </c>
      <c r="J179" s="19" t="str">
        <f t="shared" si="84"/>
        <v/>
      </c>
    </row>
    <row r="180" spans="1:10" hidden="1" x14ac:dyDescent="0.3">
      <c r="A180" s="51" t="s">
        <v>44</v>
      </c>
      <c r="B180" s="12"/>
      <c r="C180" s="173">
        <f t="shared" si="85"/>
        <v>0.1101</v>
      </c>
      <c r="D180" s="53">
        <f t="shared" ref="D180" si="87">IF($B$4&gt;0,$B$4,$B$3)</f>
        <v>55</v>
      </c>
      <c r="E180" s="49">
        <f t="shared" si="81"/>
        <v>6.0555000000000003</v>
      </c>
      <c r="F180" s="56">
        <v>0.1101</v>
      </c>
      <c r="G180" s="53">
        <f t="shared" ref="G180" si="88">+$I$3</f>
        <v>53.515000000000001</v>
      </c>
      <c r="H180" s="49">
        <f t="shared" si="82"/>
        <v>5.8920015000000001</v>
      </c>
      <c r="I180" s="18">
        <f t="shared" si="83"/>
        <v>-0.16349850000000021</v>
      </c>
      <c r="J180" s="19">
        <f t="shared" si="84"/>
        <v>-2.7000000000000034E-2</v>
      </c>
    </row>
    <row r="181" spans="1:10" ht="15" thickBot="1" x14ac:dyDescent="0.35">
      <c r="A181" s="51" t="s">
        <v>45</v>
      </c>
      <c r="B181" s="12"/>
      <c r="C181" s="173">
        <f t="shared" si="85"/>
        <v>0.1101</v>
      </c>
      <c r="D181" s="53">
        <f>+B144*B146</f>
        <v>177778.72200000001</v>
      </c>
      <c r="E181" s="49">
        <f t="shared" si="81"/>
        <v>19573.4372922</v>
      </c>
      <c r="F181" s="56">
        <f>C181</f>
        <v>0.1101</v>
      </c>
      <c r="G181" s="53">
        <f>+$I$145*B147</f>
        <v>172978.69650600001</v>
      </c>
      <c r="H181" s="49">
        <f t="shared" si="82"/>
        <v>19044.954485310602</v>
      </c>
      <c r="I181" s="18">
        <f t="shared" si="83"/>
        <v>-528.48280688939849</v>
      </c>
      <c r="J181" s="19">
        <f t="shared" si="84"/>
        <v>-2.6999999999999923E-2</v>
      </c>
    </row>
    <row r="182" spans="1:10" ht="15" thickBot="1" x14ac:dyDescent="0.35">
      <c r="A182" s="57"/>
      <c r="B182" s="58"/>
      <c r="C182" s="59"/>
      <c r="D182" s="60"/>
      <c r="E182" s="61"/>
      <c r="F182" s="59"/>
      <c r="G182" s="62"/>
      <c r="H182" s="61"/>
      <c r="I182" s="63"/>
      <c r="J182" s="64"/>
    </row>
    <row r="183" spans="1:10" x14ac:dyDescent="0.3">
      <c r="A183" s="65" t="s">
        <v>46</v>
      </c>
      <c r="B183" s="50"/>
      <c r="C183" s="66"/>
      <c r="D183" s="67"/>
      <c r="E183" s="68">
        <f>SUM(E181,E172:E179)</f>
        <v>24749.375508000001</v>
      </c>
      <c r="F183" s="69"/>
      <c r="G183" s="69"/>
      <c r="H183" s="68">
        <f>SUM(H181,H172:H179)</f>
        <v>24293.027480151999</v>
      </c>
      <c r="I183" s="68">
        <f>SUM(I181,I172:I179)</f>
        <v>-456.34802784799888</v>
      </c>
      <c r="J183" s="71">
        <f t="shared" ref="J183:J184" si="89">IF((E183)=0,"",(I183/E183))</f>
        <v>-1.8438769402504267E-2</v>
      </c>
    </row>
    <row r="184" spans="1:10" x14ac:dyDescent="0.3">
      <c r="A184" s="72" t="s">
        <v>47</v>
      </c>
      <c r="B184" s="50"/>
      <c r="C184" s="66">
        <v>0.13</v>
      </c>
      <c r="D184" s="73"/>
      <c r="E184" s="74">
        <f>+E183*C184</f>
        <v>3217.4188160400004</v>
      </c>
      <c r="F184" s="75">
        <v>0.13</v>
      </c>
      <c r="G184" s="14"/>
      <c r="H184" s="74">
        <f>+H183*F184</f>
        <v>3158.0935724197598</v>
      </c>
      <c r="I184" s="76">
        <f>+I183*F184</f>
        <v>-59.325243620239853</v>
      </c>
      <c r="J184" s="77">
        <f t="shared" si="89"/>
        <v>-1.8438769402504263E-2</v>
      </c>
    </row>
    <row r="185" spans="1:10" x14ac:dyDescent="0.3">
      <c r="A185" s="72"/>
      <c r="B185" s="50"/>
      <c r="C185" s="66"/>
      <c r="D185" s="73"/>
      <c r="E185" s="74"/>
      <c r="F185" s="66"/>
      <c r="G185" s="14"/>
      <c r="H185" s="74"/>
      <c r="I185" s="76"/>
      <c r="J185" s="77"/>
    </row>
    <row r="186" spans="1:10" ht="15" thickBot="1" x14ac:dyDescent="0.35">
      <c r="A186" s="212" t="s">
        <v>48</v>
      </c>
      <c r="B186" s="212"/>
      <c r="C186" s="78"/>
      <c r="D186" s="79"/>
      <c r="E186" s="80">
        <f>+E183+E184+E185</f>
        <v>27966.794324040002</v>
      </c>
      <c r="F186" s="81"/>
      <c r="G186" s="81"/>
      <c r="H186" s="82">
        <f>+H183+H184+H185</f>
        <v>27451.121052571758</v>
      </c>
      <c r="I186" s="83">
        <f>+I183+I184+I185</f>
        <v>-515.67327146823868</v>
      </c>
      <c r="J186" s="84">
        <f>IF((E186)=0,"",(I186/E186))</f>
        <v>-1.8438769402504263E-2</v>
      </c>
    </row>
    <row r="187" spans="1:10" ht="15" thickBot="1" x14ac:dyDescent="0.35">
      <c r="A187" s="57"/>
      <c r="B187" s="58"/>
      <c r="C187" s="59"/>
      <c r="D187" s="60"/>
      <c r="E187" s="61"/>
      <c r="F187" s="59"/>
      <c r="G187" s="62"/>
      <c r="H187" s="61"/>
      <c r="I187" s="63"/>
      <c r="J187" s="64"/>
    </row>
    <row r="189" spans="1:10" x14ac:dyDescent="0.3">
      <c r="A189" s="1" t="s">
        <v>0</v>
      </c>
      <c r="B189" s="213" t="s">
        <v>52</v>
      </c>
      <c r="C189" s="200"/>
      <c r="D189" s="200"/>
      <c r="E189" s="200"/>
      <c r="F189" s="200"/>
      <c r="G189" s="200"/>
      <c r="H189" s="2" t="s">
        <v>2</v>
      </c>
      <c r="I189" s="2"/>
      <c r="J189" s="2"/>
    </row>
    <row r="190" spans="1:10" x14ac:dyDescent="0.3">
      <c r="A190" s="85" t="s">
        <v>3</v>
      </c>
      <c r="B190" s="201" t="s">
        <v>53</v>
      </c>
      <c r="C190" s="201"/>
      <c r="D190" s="201"/>
      <c r="E190" s="86"/>
      <c r="F190" s="86"/>
      <c r="G190" s="87"/>
      <c r="H190" s="87"/>
      <c r="I190" s="87"/>
      <c r="J190" s="87"/>
    </row>
    <row r="191" spans="1:10" ht="16.2" thickBot="1" x14ac:dyDescent="0.35">
      <c r="A191" s="85" t="s">
        <v>5</v>
      </c>
      <c r="B191" s="134">
        <v>476119</v>
      </c>
      <c r="C191" s="127" t="s">
        <v>91</v>
      </c>
      <c r="D191" s="90"/>
      <c r="E191" s="98" t="s">
        <v>49</v>
      </c>
      <c r="F191" s="96">
        <v>0</v>
      </c>
      <c r="G191" s="91"/>
      <c r="H191" s="97" t="s">
        <v>50</v>
      </c>
      <c r="I191" s="99">
        <f>B192*(1-F191)</f>
        <v>1158</v>
      </c>
      <c r="J191" s="91"/>
    </row>
    <row r="192" spans="1:10" ht="16.2" thickBot="1" x14ac:dyDescent="0.35">
      <c r="A192" s="85" t="s">
        <v>7</v>
      </c>
      <c r="B192" s="135">
        <v>1158</v>
      </c>
      <c r="C192" s="128" t="s">
        <v>92</v>
      </c>
      <c r="D192" s="93"/>
      <c r="E192" s="94"/>
      <c r="F192" s="94"/>
      <c r="G192" s="91"/>
      <c r="H192" s="97" t="s">
        <v>50</v>
      </c>
      <c r="I192" s="99">
        <f>B191*(1-F191)</f>
        <v>476119</v>
      </c>
      <c r="J192" s="87"/>
    </row>
    <row r="193" spans="1:10" x14ac:dyDescent="0.3">
      <c r="A193" s="85" t="s">
        <v>9</v>
      </c>
      <c r="B193" s="95">
        <v>1.0481</v>
      </c>
      <c r="C193" s="87"/>
      <c r="D193" s="87"/>
      <c r="E193" s="87" t="s">
        <v>98</v>
      </c>
      <c r="F193" s="96">
        <f>Residential!F193</f>
        <v>0</v>
      </c>
      <c r="G193" s="87"/>
      <c r="H193" s="87"/>
      <c r="I193" s="142"/>
      <c r="J193" s="87"/>
    </row>
    <row r="194" spans="1:10" x14ac:dyDescent="0.3">
      <c r="A194" s="1" t="s">
        <v>10</v>
      </c>
      <c r="B194" s="4">
        <v>1.0481</v>
      </c>
      <c r="C194" s="2"/>
      <c r="D194" s="119"/>
      <c r="E194" s="2"/>
      <c r="F194" s="2"/>
      <c r="G194" s="2"/>
      <c r="H194" s="2"/>
      <c r="I194" s="2"/>
      <c r="J194" s="2"/>
    </row>
    <row r="195" spans="1:10" x14ac:dyDescent="0.3">
      <c r="A195" s="3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3">
      <c r="A196" s="3"/>
      <c r="B196" s="5"/>
      <c r="C196" s="202" t="s">
        <v>95</v>
      </c>
      <c r="D196" s="203"/>
      <c r="E196" s="204"/>
      <c r="F196" s="205" t="s">
        <v>54</v>
      </c>
      <c r="G196" s="203"/>
      <c r="H196" s="204"/>
      <c r="I196" s="202" t="s">
        <v>11</v>
      </c>
      <c r="J196" s="204"/>
    </row>
    <row r="197" spans="1:10" x14ac:dyDescent="0.3">
      <c r="A197" s="3"/>
      <c r="B197" s="206"/>
      <c r="C197" s="6" t="s">
        <v>12</v>
      </c>
      <c r="D197" s="6" t="s">
        <v>13</v>
      </c>
      <c r="E197" s="7" t="s">
        <v>14</v>
      </c>
      <c r="F197" s="6" t="s">
        <v>12</v>
      </c>
      <c r="G197" s="8" t="s">
        <v>13</v>
      </c>
      <c r="H197" s="7" t="s">
        <v>14</v>
      </c>
      <c r="I197" s="208" t="s">
        <v>15</v>
      </c>
      <c r="J197" s="210" t="s">
        <v>16</v>
      </c>
    </row>
    <row r="198" spans="1:10" x14ac:dyDescent="0.3">
      <c r="A198" s="3"/>
      <c r="B198" s="207"/>
      <c r="C198" s="9" t="s">
        <v>17</v>
      </c>
      <c r="D198" s="9"/>
      <c r="E198" s="10" t="s">
        <v>17</v>
      </c>
      <c r="F198" s="9" t="s">
        <v>17</v>
      </c>
      <c r="G198" s="10"/>
      <c r="H198" s="10" t="s">
        <v>17</v>
      </c>
      <c r="I198" s="209"/>
      <c r="J198" s="211"/>
    </row>
    <row r="199" spans="1:10" x14ac:dyDescent="0.3">
      <c r="A199" s="11" t="s">
        <v>18</v>
      </c>
      <c r="B199" s="12"/>
      <c r="C199" s="13">
        <f>C11</f>
        <v>119.45</v>
      </c>
      <c r="D199" s="14">
        <v>1</v>
      </c>
      <c r="E199" s="15">
        <f>C199*D199</f>
        <v>119.45</v>
      </c>
      <c r="F199" s="16">
        <f>F11</f>
        <v>121.71955</v>
      </c>
      <c r="G199" s="17">
        <v>1</v>
      </c>
      <c r="H199" s="15">
        <f>F199*G199</f>
        <v>121.71955</v>
      </c>
      <c r="I199" s="18">
        <f>+H199-E199</f>
        <v>2.2695499999999953</v>
      </c>
      <c r="J199" s="19">
        <f>IF(ISERROR(I199/E199),"",I199/E199)</f>
        <v>1.8999999999999961E-2</v>
      </c>
    </row>
    <row r="200" spans="1:10" x14ac:dyDescent="0.3">
      <c r="A200" s="11" t="s">
        <v>19</v>
      </c>
      <c r="B200" s="12"/>
      <c r="C200" s="13">
        <f>C12</f>
        <v>7.0229999999999997</v>
      </c>
      <c r="D200" s="14">
        <f>IF($B$192&gt;0,$B$192,$B$191)</f>
        <v>1158</v>
      </c>
      <c r="E200" s="15">
        <f t="shared" ref="E200:E206" si="90">C200*D200</f>
        <v>8132.634</v>
      </c>
      <c r="F200" s="172">
        <f>F12</f>
        <v>7.1564369999999986</v>
      </c>
      <c r="G200" s="100">
        <f>+$I$191</f>
        <v>1158</v>
      </c>
      <c r="H200" s="15">
        <f t="shared" ref="H200:H206" si="91">F200*G200</f>
        <v>8287.1540459999978</v>
      </c>
      <c r="I200" s="18">
        <f t="shared" ref="I200:I206" si="92">+H200-E200</f>
        <v>154.52004599999782</v>
      </c>
      <c r="J200" s="19">
        <f t="shared" ref="J200:J206" si="93">IF(ISERROR(I200/E200),"",I200/E200)</f>
        <v>1.8999999999999732E-2</v>
      </c>
    </row>
    <row r="201" spans="1:10" x14ac:dyDescent="0.3">
      <c r="A201" s="11" t="s">
        <v>20</v>
      </c>
      <c r="B201" s="12"/>
      <c r="C201" s="20">
        <v>0</v>
      </c>
      <c r="D201" s="14">
        <f>IF($B$192&gt;0,$B$192,$B$191)</f>
        <v>1158</v>
      </c>
      <c r="E201" s="15">
        <f t="shared" si="90"/>
        <v>0</v>
      </c>
      <c r="F201" s="21"/>
      <c r="G201" s="100">
        <f>+$I$191</f>
        <v>1158</v>
      </c>
      <c r="H201" s="15">
        <f t="shared" si="91"/>
        <v>0</v>
      </c>
      <c r="I201" s="18">
        <f t="shared" si="92"/>
        <v>0</v>
      </c>
      <c r="J201" s="19" t="str">
        <f t="shared" si="93"/>
        <v/>
      </c>
    </row>
    <row r="202" spans="1:10" x14ac:dyDescent="0.3">
      <c r="A202" s="11" t="s">
        <v>21</v>
      </c>
      <c r="B202" s="12"/>
      <c r="C202" s="20">
        <v>0</v>
      </c>
      <c r="D202" s="14">
        <f>IF($B$192&gt;0,$B$192,$B$191)</f>
        <v>1158</v>
      </c>
      <c r="E202" s="15">
        <f t="shared" si="90"/>
        <v>0</v>
      </c>
      <c r="F202" s="21"/>
      <c r="G202" s="100">
        <f>+$I$191</f>
        <v>1158</v>
      </c>
      <c r="H202" s="15">
        <f t="shared" si="91"/>
        <v>0</v>
      </c>
      <c r="I202" s="18">
        <f t="shared" si="92"/>
        <v>0</v>
      </c>
      <c r="J202" s="19" t="str">
        <f t="shared" si="93"/>
        <v/>
      </c>
    </row>
    <row r="203" spans="1:10" x14ac:dyDescent="0.3">
      <c r="A203" s="22" t="s">
        <v>22</v>
      </c>
      <c r="B203" s="12"/>
      <c r="C203" s="13">
        <v>1.41</v>
      </c>
      <c r="D203" s="14">
        <v>1</v>
      </c>
      <c r="E203" s="15">
        <f t="shared" si="90"/>
        <v>1.41</v>
      </c>
      <c r="F203" s="16">
        <f>C203</f>
        <v>1.41</v>
      </c>
      <c r="G203" s="17">
        <v>1</v>
      </c>
      <c r="H203" s="15">
        <f t="shared" si="91"/>
        <v>1.41</v>
      </c>
      <c r="I203" s="18">
        <f t="shared" si="92"/>
        <v>0</v>
      </c>
      <c r="J203" s="19">
        <f t="shared" si="93"/>
        <v>0</v>
      </c>
    </row>
    <row r="204" spans="1:10" x14ac:dyDescent="0.3">
      <c r="A204" s="35" t="s">
        <v>80</v>
      </c>
      <c r="B204" s="12"/>
      <c r="C204" s="13">
        <v>0</v>
      </c>
      <c r="D204" s="14">
        <v>1</v>
      </c>
      <c r="E204" s="15">
        <f t="shared" si="90"/>
        <v>0</v>
      </c>
      <c r="F204" s="16">
        <f>F63</f>
        <v>5.24</v>
      </c>
      <c r="G204" s="14">
        <v>1</v>
      </c>
      <c r="H204" s="15">
        <f t="shared" si="91"/>
        <v>5.24</v>
      </c>
      <c r="I204" s="18">
        <f t="shared" si="92"/>
        <v>5.24</v>
      </c>
      <c r="J204" s="19" t="str">
        <f t="shared" si="93"/>
        <v/>
      </c>
    </row>
    <row r="205" spans="1:10" x14ac:dyDescent="0.3">
      <c r="A205" s="35" t="s">
        <v>81</v>
      </c>
      <c r="B205" s="12"/>
      <c r="C205" s="20">
        <v>0</v>
      </c>
      <c r="D205" s="14">
        <f>IF($B$192&gt;0,$B$192,$B$191)</f>
        <v>1158</v>
      </c>
      <c r="E205" s="15">
        <f t="shared" si="90"/>
        <v>0</v>
      </c>
      <c r="F205" s="16">
        <f>F64</f>
        <v>0.30819999999999997</v>
      </c>
      <c r="G205" s="100">
        <f>+$I$191</f>
        <v>1158</v>
      </c>
      <c r="H205" s="15">
        <f t="shared" si="91"/>
        <v>356.89559999999994</v>
      </c>
      <c r="I205" s="18">
        <f t="shared" si="92"/>
        <v>356.89559999999994</v>
      </c>
      <c r="J205" s="19" t="str">
        <f t="shared" si="93"/>
        <v/>
      </c>
    </row>
    <row r="206" spans="1:10" x14ac:dyDescent="0.3">
      <c r="A206" s="22" t="s">
        <v>23</v>
      </c>
      <c r="B206" s="143"/>
      <c r="C206" s="52">
        <v>8.3199999999999996E-2</v>
      </c>
      <c r="D206" s="14">
        <f>IF($B$192&gt;0,$B$192,$B$191)</f>
        <v>1158</v>
      </c>
      <c r="E206" s="144">
        <f t="shared" si="90"/>
        <v>96.34559999999999</v>
      </c>
      <c r="F206" s="54">
        <f>C206</f>
        <v>8.3199999999999996E-2</v>
      </c>
      <c r="G206" s="100">
        <f>+$I$191</f>
        <v>1158</v>
      </c>
      <c r="H206" s="144">
        <f t="shared" si="91"/>
        <v>96.34559999999999</v>
      </c>
      <c r="I206" s="76">
        <f t="shared" si="92"/>
        <v>0</v>
      </c>
      <c r="J206" s="145">
        <f t="shared" si="93"/>
        <v>0</v>
      </c>
    </row>
    <row r="207" spans="1:10" x14ac:dyDescent="0.3">
      <c r="A207" s="23" t="s">
        <v>24</v>
      </c>
      <c r="B207" s="24"/>
      <c r="C207" s="25"/>
      <c r="D207" s="26"/>
      <c r="E207" s="27">
        <f>SUM(E199:E206)</f>
        <v>8349.8396000000012</v>
      </c>
      <c r="F207" s="28"/>
      <c r="G207" s="29"/>
      <c r="H207" s="27">
        <f>SUM(H199:H206)</f>
        <v>8868.7647959999977</v>
      </c>
      <c r="I207" s="30">
        <f>SUM(I199:I206)</f>
        <v>518.92519599999775</v>
      </c>
      <c r="J207" s="31">
        <f>IF((E207)=0,"",(I207/E207))</f>
        <v>6.2147923895447967E-2</v>
      </c>
    </row>
    <row r="208" spans="1:10" x14ac:dyDescent="0.3">
      <c r="A208" s="32" t="s">
        <v>25</v>
      </c>
      <c r="B208" s="12"/>
      <c r="C208" s="20">
        <v>0</v>
      </c>
      <c r="D208" s="33">
        <f>IF(C208=0,0,$B$3*B193-B191)</f>
        <v>0</v>
      </c>
      <c r="E208" s="15">
        <f>C208*D208</f>
        <v>0</v>
      </c>
      <c r="F208" s="21">
        <v>0</v>
      </c>
      <c r="G208" s="33">
        <f>IF(F208=0,0,$I$3*B194-I191)</f>
        <v>0</v>
      </c>
      <c r="H208" s="15">
        <f t="shared" ref="H208" si="94">F208*G208</f>
        <v>0</v>
      </c>
      <c r="I208" s="18">
        <f t="shared" ref="I208:I215" si="95">+H208-E208</f>
        <v>0</v>
      </c>
      <c r="J208" s="19" t="str">
        <f t="shared" ref="J208:J215" si="96">IF(ISERROR(I208/E208),"",I208/E208)</f>
        <v/>
      </c>
    </row>
    <row r="209" spans="1:10" x14ac:dyDescent="0.3">
      <c r="A209" s="32" t="s">
        <v>26</v>
      </c>
      <c r="B209" s="143"/>
      <c r="C209" s="52">
        <v>0</v>
      </c>
      <c r="D209" s="14">
        <f>IF($B$192&gt;0,$B$192,$B$191)</f>
        <v>1158</v>
      </c>
      <c r="E209" s="144">
        <v>0</v>
      </c>
      <c r="F209" s="54">
        <f>C209</f>
        <v>0</v>
      </c>
      <c r="G209" s="100">
        <f>+$I$191</f>
        <v>1158</v>
      </c>
      <c r="H209" s="144">
        <v>0</v>
      </c>
      <c r="I209" s="76">
        <f t="shared" si="95"/>
        <v>0</v>
      </c>
      <c r="J209" s="145" t="str">
        <f t="shared" si="96"/>
        <v/>
      </c>
    </row>
    <row r="210" spans="1:10" x14ac:dyDescent="0.3">
      <c r="A210" s="32" t="s">
        <v>27</v>
      </c>
      <c r="B210" s="12"/>
      <c r="C210" s="20">
        <v>0</v>
      </c>
      <c r="D210" s="14">
        <f>IF($B$192&gt;0,$B$192,$B$191)</f>
        <v>1158</v>
      </c>
      <c r="E210" s="15">
        <f t="shared" ref="E210" si="97">C210*D210</f>
        <v>0</v>
      </c>
      <c r="F210" s="21">
        <v>0</v>
      </c>
      <c r="G210" s="100">
        <f>+$I$191</f>
        <v>1158</v>
      </c>
      <c r="H210" s="15">
        <f t="shared" ref="H210" si="98">F210*G210</f>
        <v>0</v>
      </c>
      <c r="I210" s="18">
        <f t="shared" si="95"/>
        <v>0</v>
      </c>
      <c r="J210" s="19" t="str">
        <f t="shared" si="96"/>
        <v/>
      </c>
    </row>
    <row r="211" spans="1:10" x14ac:dyDescent="0.3">
      <c r="A211" s="32" t="s">
        <v>28</v>
      </c>
      <c r="B211" s="143"/>
      <c r="C211" s="52"/>
      <c r="D211" s="34">
        <f>+B191</f>
        <v>476119</v>
      </c>
      <c r="E211" s="144">
        <v>0</v>
      </c>
      <c r="F211" s="54">
        <f>C211</f>
        <v>0</v>
      </c>
      <c r="G211" s="100">
        <f>+I192</f>
        <v>476119</v>
      </c>
      <c r="H211" s="144">
        <v>0</v>
      </c>
      <c r="I211" s="76">
        <f t="shared" si="95"/>
        <v>0</v>
      </c>
      <c r="J211" s="145" t="str">
        <f t="shared" si="96"/>
        <v/>
      </c>
    </row>
    <row r="212" spans="1:10" x14ac:dyDescent="0.3">
      <c r="A212" s="35" t="s">
        <v>29</v>
      </c>
      <c r="B212" s="12"/>
      <c r="C212" s="20">
        <v>0</v>
      </c>
      <c r="D212" s="14">
        <f>IF($B$192&gt;0,$B$192,$B$191)</f>
        <v>1158</v>
      </c>
      <c r="E212" s="15">
        <f t="shared" ref="E212:E215" si="99">C212*D212</f>
        <v>0</v>
      </c>
      <c r="F212" s="21"/>
      <c r="G212" s="100">
        <f>+$I$191</f>
        <v>1158</v>
      </c>
      <c r="H212" s="15">
        <f t="shared" ref="H212:H215" si="100">F212*G212</f>
        <v>0</v>
      </c>
      <c r="I212" s="18">
        <f t="shared" si="95"/>
        <v>0</v>
      </c>
      <c r="J212" s="19" t="str">
        <f t="shared" si="96"/>
        <v/>
      </c>
    </row>
    <row r="213" spans="1:10" x14ac:dyDescent="0.3">
      <c r="A213" s="36" t="s">
        <v>30</v>
      </c>
      <c r="B213" s="12"/>
      <c r="C213" s="37">
        <v>0</v>
      </c>
      <c r="D213" s="14">
        <v>1</v>
      </c>
      <c r="E213" s="15">
        <f t="shared" si="99"/>
        <v>0</v>
      </c>
      <c r="F213" s="38">
        <v>0</v>
      </c>
      <c r="G213" s="14">
        <v>1</v>
      </c>
      <c r="H213" s="15">
        <f t="shared" si="100"/>
        <v>0</v>
      </c>
      <c r="I213" s="18">
        <f t="shared" si="95"/>
        <v>0</v>
      </c>
      <c r="J213" s="19" t="str">
        <f t="shared" si="96"/>
        <v/>
      </c>
    </row>
    <row r="214" spans="1:10" x14ac:dyDescent="0.3">
      <c r="A214" s="35" t="s">
        <v>31</v>
      </c>
      <c r="B214" s="12"/>
      <c r="C214" s="13">
        <v>0</v>
      </c>
      <c r="D214" s="14">
        <v>1</v>
      </c>
      <c r="E214" s="15">
        <f t="shared" si="99"/>
        <v>0</v>
      </c>
      <c r="F214" s="16">
        <v>0</v>
      </c>
      <c r="G214" s="14">
        <v>1</v>
      </c>
      <c r="H214" s="15">
        <f t="shared" si="100"/>
        <v>0</v>
      </c>
      <c r="I214" s="18">
        <f t="shared" si="95"/>
        <v>0</v>
      </c>
      <c r="J214" s="19" t="str">
        <f t="shared" si="96"/>
        <v/>
      </c>
    </row>
    <row r="215" spans="1:10" x14ac:dyDescent="0.3">
      <c r="A215" s="35" t="s">
        <v>32</v>
      </c>
      <c r="B215" s="12"/>
      <c r="C215" s="20">
        <v>-4.0000000000000002E-4</v>
      </c>
      <c r="D215" s="34">
        <f>+B191</f>
        <v>476119</v>
      </c>
      <c r="E215" s="15">
        <f t="shared" si="99"/>
        <v>-190.44760000000002</v>
      </c>
      <c r="F215" s="21">
        <f>C215</f>
        <v>-4.0000000000000002E-4</v>
      </c>
      <c r="G215" s="100">
        <f>I192</f>
        <v>476119</v>
      </c>
      <c r="H215" s="15">
        <f t="shared" si="100"/>
        <v>-190.44760000000002</v>
      </c>
      <c r="I215" s="18">
        <f t="shared" si="95"/>
        <v>0</v>
      </c>
      <c r="J215" s="19">
        <f t="shared" si="96"/>
        <v>0</v>
      </c>
    </row>
    <row r="216" spans="1:10" ht="26.4" x14ac:dyDescent="0.3">
      <c r="A216" s="39" t="s">
        <v>33</v>
      </c>
      <c r="B216" s="40"/>
      <c r="C216" s="41"/>
      <c r="D216" s="147"/>
      <c r="E216" s="43">
        <f>SUM(E207:E215)</f>
        <v>8159.3920000000007</v>
      </c>
      <c r="F216" s="44"/>
      <c r="G216" s="45"/>
      <c r="H216" s="43">
        <f>SUM(H207:H215)</f>
        <v>8678.3171959999981</v>
      </c>
      <c r="I216" s="30">
        <f>SUM(I207:I215)</f>
        <v>518.92519599999775</v>
      </c>
      <c r="J216" s="31">
        <f>IF((E216)=0,"",(I216/E216))</f>
        <v>6.359851273232095E-2</v>
      </c>
    </row>
    <row r="217" spans="1:10" x14ac:dyDescent="0.3">
      <c r="A217" s="46" t="s">
        <v>34</v>
      </c>
      <c r="B217" s="12"/>
      <c r="C217" s="20">
        <v>2.3582000000000001</v>
      </c>
      <c r="D217" s="33">
        <f>IF($B$192&gt;0,$B$192,$B$191*$B$193)</f>
        <v>1158</v>
      </c>
      <c r="E217" s="15">
        <f t="shared" ref="E217:E218" si="101">C217*D217</f>
        <v>2730.7955999999999</v>
      </c>
      <c r="F217" s="21">
        <f>C217</f>
        <v>2.3582000000000001</v>
      </c>
      <c r="G217" s="33">
        <f>IF($I$191&gt;0,$I$191,$B$192*$B$194)</f>
        <v>1158</v>
      </c>
      <c r="H217" s="15">
        <f t="shared" ref="H217:H218" si="102">F217*G217</f>
        <v>2730.7955999999999</v>
      </c>
      <c r="I217" s="18">
        <f t="shared" ref="I217:I218" si="103">+H217-E217</f>
        <v>0</v>
      </c>
      <c r="J217" s="19">
        <f t="shared" ref="J217:J218" si="104">IF(ISERROR(I217/E217),"",I217/E217)</f>
        <v>0</v>
      </c>
    </row>
    <row r="218" spans="1:10" ht="26.4" x14ac:dyDescent="0.3">
      <c r="A218" s="47" t="s">
        <v>35</v>
      </c>
      <c r="B218" s="12"/>
      <c r="C218" s="20">
        <v>0</v>
      </c>
      <c r="D218" s="33">
        <f>IF($B$192&gt;0,$B$192,$B$191*$B$193)</f>
        <v>1158</v>
      </c>
      <c r="E218" s="15">
        <f t="shared" si="101"/>
        <v>0</v>
      </c>
      <c r="F218" s="21">
        <v>0</v>
      </c>
      <c r="G218" s="33">
        <f>IF($I$191&gt;0,$I$191,$B$192*$B$194)</f>
        <v>1158</v>
      </c>
      <c r="H218" s="15">
        <f t="shared" si="102"/>
        <v>0</v>
      </c>
      <c r="I218" s="18">
        <f t="shared" si="103"/>
        <v>0</v>
      </c>
      <c r="J218" s="19" t="str">
        <f t="shared" si="104"/>
        <v/>
      </c>
    </row>
    <row r="219" spans="1:10" ht="26.4" x14ac:dyDescent="0.3">
      <c r="A219" s="39" t="s">
        <v>36</v>
      </c>
      <c r="B219" s="24"/>
      <c r="C219" s="41"/>
      <c r="D219" s="42"/>
      <c r="E219" s="43">
        <f>SUM(E216:E218)</f>
        <v>10890.187600000001</v>
      </c>
      <c r="F219" s="44"/>
      <c r="G219" s="29"/>
      <c r="H219" s="43">
        <f>SUM(H216:H218)</f>
        <v>11409.112795999998</v>
      </c>
      <c r="I219" s="30">
        <f>SUM(I216:I218)</f>
        <v>518.92519599999775</v>
      </c>
      <c r="J219" s="31">
        <f>IF((E219)=0,"",(I219/E219))</f>
        <v>4.7650712279740499E-2</v>
      </c>
    </row>
    <row r="220" spans="1:10" x14ac:dyDescent="0.3">
      <c r="A220" s="48" t="s">
        <v>37</v>
      </c>
      <c r="B220" s="12"/>
      <c r="C220" s="20">
        <v>3.3999999999999998E-3</v>
      </c>
      <c r="D220" s="33">
        <f>+B191*B193</f>
        <v>499020.32390000002</v>
      </c>
      <c r="E220" s="49">
        <f t="shared" ref="E220:E228" si="105">C220*D220</f>
        <v>1696.6691012599999</v>
      </c>
      <c r="F220" s="21">
        <v>3.3999999999999998E-3</v>
      </c>
      <c r="G220" s="33">
        <f>+$I$192*$B$194</f>
        <v>499020.32390000002</v>
      </c>
      <c r="H220" s="49">
        <f t="shared" ref="H220:H228" si="106">F220*G220</f>
        <v>1696.6691012599999</v>
      </c>
      <c r="I220" s="18">
        <f t="shared" ref="I220:I228" si="107">+H220-E220</f>
        <v>0</v>
      </c>
      <c r="J220" s="19">
        <f t="shared" ref="J220:J228" si="108">IF(ISERROR(I220/E220),"",I220/E220)</f>
        <v>0</v>
      </c>
    </row>
    <row r="221" spans="1:10" x14ac:dyDescent="0.3">
      <c r="A221" s="48" t="s">
        <v>38</v>
      </c>
      <c r="B221" s="12"/>
      <c r="C221" s="20">
        <v>5.0000000000000001E-4</v>
      </c>
      <c r="D221" s="33">
        <f>+B191*B193</f>
        <v>499020.32390000002</v>
      </c>
      <c r="E221" s="49">
        <f t="shared" si="105"/>
        <v>249.51016195000003</v>
      </c>
      <c r="F221" s="21">
        <v>5.0000000000000001E-4</v>
      </c>
      <c r="G221" s="33">
        <f>+$I$192*$B$194</f>
        <v>499020.32390000002</v>
      </c>
      <c r="H221" s="49">
        <f t="shared" si="106"/>
        <v>249.51016195000003</v>
      </c>
      <c r="I221" s="18">
        <f t="shared" si="107"/>
        <v>0</v>
      </c>
      <c r="J221" s="19">
        <f t="shared" si="108"/>
        <v>0</v>
      </c>
    </row>
    <row r="222" spans="1:10" x14ac:dyDescent="0.3">
      <c r="A222" s="50" t="s">
        <v>39</v>
      </c>
      <c r="B222" s="12"/>
      <c r="C222" s="37">
        <v>0.25</v>
      </c>
      <c r="D222" s="14">
        <v>1</v>
      </c>
      <c r="E222" s="49">
        <f t="shared" si="105"/>
        <v>0.25</v>
      </c>
      <c r="F222" s="38">
        <v>0.25</v>
      </c>
      <c r="G222" s="17">
        <v>1</v>
      </c>
      <c r="H222" s="49">
        <f t="shared" si="106"/>
        <v>0.25</v>
      </c>
      <c r="I222" s="18">
        <f t="shared" si="107"/>
        <v>0</v>
      </c>
      <c r="J222" s="19">
        <f t="shared" si="108"/>
        <v>0</v>
      </c>
    </row>
    <row r="223" spans="1:10" ht="26.4" hidden="1" x14ac:dyDescent="0.3">
      <c r="A223" s="48" t="s">
        <v>40</v>
      </c>
      <c r="B223" s="12"/>
      <c r="C223" s="20"/>
      <c r="D223" s="33"/>
      <c r="E223" s="49">
        <f t="shared" si="105"/>
        <v>0</v>
      </c>
      <c r="F223" s="21"/>
      <c r="G223" s="33"/>
      <c r="H223" s="49">
        <f t="shared" si="106"/>
        <v>0</v>
      </c>
      <c r="I223" s="18">
        <f t="shared" si="107"/>
        <v>0</v>
      </c>
      <c r="J223" s="19" t="str">
        <f t="shared" si="108"/>
        <v/>
      </c>
    </row>
    <row r="224" spans="1:10" hidden="1" x14ac:dyDescent="0.3">
      <c r="A224" s="51" t="s">
        <v>41</v>
      </c>
      <c r="B224" s="12"/>
      <c r="C224" s="173">
        <f>C36</f>
        <v>0.10100000000000001</v>
      </c>
      <c r="D224" s="53">
        <v>0</v>
      </c>
      <c r="E224" s="49">
        <f t="shared" si="105"/>
        <v>0</v>
      </c>
      <c r="F224" s="54">
        <f>C224</f>
        <v>0.10100000000000001</v>
      </c>
      <c r="G224" s="53">
        <v>0</v>
      </c>
      <c r="H224" s="49">
        <f t="shared" si="106"/>
        <v>0</v>
      </c>
      <c r="I224" s="18">
        <f t="shared" si="107"/>
        <v>0</v>
      </c>
      <c r="J224" s="19" t="str">
        <f t="shared" si="108"/>
        <v/>
      </c>
    </row>
    <row r="225" spans="1:10" hidden="1" x14ac:dyDescent="0.3">
      <c r="A225" s="51" t="s">
        <v>42</v>
      </c>
      <c r="B225" s="12"/>
      <c r="C225" s="173">
        <f t="shared" ref="C225:C228" si="109">C37</f>
        <v>0.14399999999999999</v>
      </c>
      <c r="D225" s="53">
        <v>0</v>
      </c>
      <c r="E225" s="49">
        <f t="shared" si="105"/>
        <v>0</v>
      </c>
      <c r="F225" s="54">
        <f t="shared" ref="F225:F226" si="110">C225</f>
        <v>0.14399999999999999</v>
      </c>
      <c r="G225" s="53">
        <v>0</v>
      </c>
      <c r="H225" s="49">
        <f t="shared" si="106"/>
        <v>0</v>
      </c>
      <c r="I225" s="18">
        <f t="shared" si="107"/>
        <v>0</v>
      </c>
      <c r="J225" s="19" t="str">
        <f t="shared" si="108"/>
        <v/>
      </c>
    </row>
    <row r="226" spans="1:10" hidden="1" x14ac:dyDescent="0.3">
      <c r="A226" s="3" t="s">
        <v>43</v>
      </c>
      <c r="B226" s="12"/>
      <c r="C226" s="173">
        <f t="shared" si="109"/>
        <v>0.20799999999999999</v>
      </c>
      <c r="D226" s="53">
        <v>0</v>
      </c>
      <c r="E226" s="49">
        <f t="shared" si="105"/>
        <v>0</v>
      </c>
      <c r="F226" s="54">
        <f t="shared" si="110"/>
        <v>0.20799999999999999</v>
      </c>
      <c r="G226" s="53">
        <v>0</v>
      </c>
      <c r="H226" s="49">
        <f t="shared" si="106"/>
        <v>0</v>
      </c>
      <c r="I226" s="18">
        <f t="shared" si="107"/>
        <v>0</v>
      </c>
      <c r="J226" s="19" t="str">
        <f t="shared" si="108"/>
        <v/>
      </c>
    </row>
    <row r="227" spans="1:10" hidden="1" x14ac:dyDescent="0.3">
      <c r="A227" s="51" t="s">
        <v>44</v>
      </c>
      <c r="B227" s="12"/>
      <c r="C227" s="174">
        <f t="shared" si="109"/>
        <v>0.1101</v>
      </c>
      <c r="D227" s="14">
        <f>IF($B$192&gt;0,$B$192,$B$191)</f>
        <v>1158</v>
      </c>
      <c r="E227" s="49">
        <f t="shared" si="105"/>
        <v>127.4958</v>
      </c>
      <c r="F227" s="56">
        <v>0.1101</v>
      </c>
      <c r="G227" s="53">
        <f t="shared" ref="G227" si="111">+$I$3</f>
        <v>53.515000000000001</v>
      </c>
      <c r="H227" s="49">
        <f t="shared" si="106"/>
        <v>5.8920015000000001</v>
      </c>
      <c r="I227" s="18">
        <f t="shared" si="107"/>
        <v>-121.6037985</v>
      </c>
      <c r="J227" s="19">
        <f t="shared" si="108"/>
        <v>-0.9537867012089809</v>
      </c>
    </row>
    <row r="228" spans="1:10" ht="15" thickBot="1" x14ac:dyDescent="0.35">
      <c r="A228" s="51" t="s">
        <v>45</v>
      </c>
      <c r="B228" s="12"/>
      <c r="C228" s="174">
        <f t="shared" si="109"/>
        <v>0.1101</v>
      </c>
      <c r="D228" s="53">
        <f>+B191*B193</f>
        <v>499020.32390000002</v>
      </c>
      <c r="E228" s="49">
        <f t="shared" si="105"/>
        <v>54942.137661390007</v>
      </c>
      <c r="F228" s="56">
        <f>C228</f>
        <v>0.1101</v>
      </c>
      <c r="G228" s="53">
        <f>+$I$192*$B$194</f>
        <v>499020.32390000002</v>
      </c>
      <c r="H228" s="49">
        <f t="shared" si="106"/>
        <v>54942.137661390007</v>
      </c>
      <c r="I228" s="18">
        <f t="shared" si="107"/>
        <v>0</v>
      </c>
      <c r="J228" s="19">
        <f t="shared" si="108"/>
        <v>0</v>
      </c>
    </row>
    <row r="229" spans="1:10" ht="15" thickBot="1" x14ac:dyDescent="0.35">
      <c r="A229" s="57"/>
      <c r="B229" s="58"/>
      <c r="C229" s="59"/>
      <c r="D229" s="60"/>
      <c r="E229" s="61"/>
      <c r="F229" s="59"/>
      <c r="G229" s="62"/>
      <c r="H229" s="61"/>
      <c r="I229" s="63"/>
      <c r="J229" s="64"/>
    </row>
    <row r="230" spans="1:10" x14ac:dyDescent="0.3">
      <c r="A230" s="65" t="s">
        <v>46</v>
      </c>
      <c r="B230" s="50"/>
      <c r="C230" s="66"/>
      <c r="D230" s="67"/>
      <c r="E230" s="68">
        <f>SUM(E228,E219:E226)</f>
        <v>67778.754524600023</v>
      </c>
      <c r="F230" s="69"/>
      <c r="G230" s="69"/>
      <c r="H230" s="68">
        <f>SUM(H228,H219:H226)</f>
        <v>68297.679720600019</v>
      </c>
      <c r="I230" s="68">
        <f>SUM(I228,I219:I226)</f>
        <v>518.92519599999775</v>
      </c>
      <c r="J230" s="71">
        <f t="shared" ref="J230:J231" si="112">IF((E230)=0,"",(I230/E230))</f>
        <v>7.6561630504977185E-3</v>
      </c>
    </row>
    <row r="231" spans="1:10" x14ac:dyDescent="0.3">
      <c r="A231" s="72" t="s">
        <v>47</v>
      </c>
      <c r="B231" s="50"/>
      <c r="C231" s="66">
        <v>0.13</v>
      </c>
      <c r="D231" s="73"/>
      <c r="E231" s="74">
        <f>+E230*C231</f>
        <v>8811.2380881980025</v>
      </c>
      <c r="F231" s="75">
        <v>0.13</v>
      </c>
      <c r="G231" s="14"/>
      <c r="H231" s="74">
        <f>+H230*F231</f>
        <v>8878.6983636780024</v>
      </c>
      <c r="I231" s="76">
        <f>+I230*F231</f>
        <v>67.460275479999709</v>
      </c>
      <c r="J231" s="77">
        <f t="shared" si="112"/>
        <v>7.6561630504977194E-3</v>
      </c>
    </row>
    <row r="232" spans="1:10" x14ac:dyDescent="0.3">
      <c r="A232" s="72"/>
      <c r="B232" s="50"/>
      <c r="C232" s="66"/>
      <c r="D232" s="73"/>
      <c r="E232" s="74"/>
      <c r="F232" s="66"/>
      <c r="G232" s="14"/>
      <c r="H232" s="74"/>
      <c r="I232" s="76"/>
      <c r="J232" s="77"/>
    </row>
    <row r="233" spans="1:10" ht="15" thickBot="1" x14ac:dyDescent="0.35">
      <c r="A233" s="212" t="s">
        <v>48</v>
      </c>
      <c r="B233" s="212"/>
      <c r="C233" s="78"/>
      <c r="D233" s="79"/>
      <c r="E233" s="80">
        <f>+E230+E231+E232</f>
        <v>76589.992612798029</v>
      </c>
      <c r="F233" s="81"/>
      <c r="G233" s="81"/>
      <c r="H233" s="82">
        <f>+H230+H231+H232</f>
        <v>77176.378084278025</v>
      </c>
      <c r="I233" s="83">
        <f>+I230+I231+I232</f>
        <v>586.38547147999748</v>
      </c>
      <c r="J233" s="84">
        <f>IF((E233)=0,"",(I233/E233))</f>
        <v>7.6561630504977185E-3</v>
      </c>
    </row>
    <row r="234" spans="1:10" ht="15" thickBot="1" x14ac:dyDescent="0.35">
      <c r="A234" s="57"/>
      <c r="B234" s="58"/>
      <c r="C234" s="59"/>
      <c r="D234" s="60"/>
      <c r="E234" s="61"/>
      <c r="F234" s="59"/>
      <c r="G234" s="62"/>
      <c r="H234" s="61"/>
      <c r="I234" s="63"/>
      <c r="J234" s="64"/>
    </row>
  </sheetData>
  <mergeCells count="45">
    <mergeCell ref="B197:B198"/>
    <mergeCell ref="I197:I198"/>
    <mergeCell ref="J197:J198"/>
    <mergeCell ref="A233:B233"/>
    <mergeCell ref="B189:G189"/>
    <mergeCell ref="B190:D190"/>
    <mergeCell ref="C196:E196"/>
    <mergeCell ref="F196:H196"/>
    <mergeCell ref="I196:J196"/>
    <mergeCell ref="I149:J149"/>
    <mergeCell ref="B150:B151"/>
    <mergeCell ref="I150:I151"/>
    <mergeCell ref="J150:J151"/>
    <mergeCell ref="A186:B186"/>
    <mergeCell ref="A139:B139"/>
    <mergeCell ref="B142:G142"/>
    <mergeCell ref="B143:D143"/>
    <mergeCell ref="C149:E149"/>
    <mergeCell ref="F149:H149"/>
    <mergeCell ref="B96:D96"/>
    <mergeCell ref="C102:E102"/>
    <mergeCell ref="F102:H102"/>
    <mergeCell ref="I102:J102"/>
    <mergeCell ref="B103:B104"/>
    <mergeCell ref="I103:I104"/>
    <mergeCell ref="J103:J104"/>
    <mergeCell ref="B56:B57"/>
    <mergeCell ref="I56:I57"/>
    <mergeCell ref="J56:J57"/>
    <mergeCell ref="A92:B92"/>
    <mergeCell ref="B95:G95"/>
    <mergeCell ref="B48:G48"/>
    <mergeCell ref="B49:D49"/>
    <mergeCell ref="C55:E55"/>
    <mergeCell ref="F55:H55"/>
    <mergeCell ref="I55:J55"/>
    <mergeCell ref="B9:B10"/>
    <mergeCell ref="I9:I10"/>
    <mergeCell ref="J9:J10"/>
    <mergeCell ref="A45:B45"/>
    <mergeCell ref="B1:G1"/>
    <mergeCell ref="B2:D2"/>
    <mergeCell ref="C8:E8"/>
    <mergeCell ref="F8:H8"/>
    <mergeCell ref="I8:J8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"/>
  <sheetViews>
    <sheetView tabSelected="1" workbookViewId="0">
      <selection activeCell="G14" sqref="A1:G14"/>
    </sheetView>
  </sheetViews>
  <sheetFormatPr defaultRowHeight="14.4" x14ac:dyDescent="0.3"/>
  <cols>
    <col min="1" max="1" width="19.6640625" bestFit="1" customWidth="1"/>
    <col min="2" max="2" width="12.6640625" bestFit="1" customWidth="1"/>
    <col min="3" max="3" width="16.33203125" customWidth="1"/>
    <col min="4" max="4" width="17.6640625" customWidth="1"/>
    <col min="5" max="5" width="12.33203125" customWidth="1"/>
    <col min="6" max="6" width="16.33203125" customWidth="1"/>
    <col min="7" max="7" width="11.6640625" customWidth="1"/>
    <col min="8" max="8" width="9.109375" customWidth="1"/>
    <col min="9" max="9" width="18" customWidth="1"/>
    <col min="10" max="10" width="12.6640625" customWidth="1"/>
    <col min="11" max="11" width="16" customWidth="1"/>
    <col min="12" max="12" width="15.109375" customWidth="1"/>
  </cols>
  <sheetData>
    <row r="1" spans="1:7" ht="14.4" customHeight="1" x14ac:dyDescent="0.3">
      <c r="A1" s="192"/>
      <c r="B1" s="193"/>
      <c r="C1" s="193"/>
      <c r="D1" s="214" t="s">
        <v>96</v>
      </c>
      <c r="E1" s="215"/>
      <c r="F1" s="218" t="s">
        <v>97</v>
      </c>
      <c r="G1" s="215"/>
    </row>
    <row r="2" spans="1:7" ht="15" thickBot="1" x14ac:dyDescent="0.35">
      <c r="A2" s="194"/>
      <c r="B2" s="152"/>
      <c r="C2" s="152"/>
      <c r="D2" s="216"/>
      <c r="E2" s="217"/>
      <c r="F2" s="219"/>
      <c r="G2" s="217"/>
    </row>
    <row r="3" spans="1:7" ht="43.2" x14ac:dyDescent="0.3">
      <c r="A3" s="121" t="s">
        <v>82</v>
      </c>
      <c r="B3" s="122" t="s">
        <v>88</v>
      </c>
      <c r="C3" s="159" t="s">
        <v>89</v>
      </c>
      <c r="D3" s="156" t="s">
        <v>83</v>
      </c>
      <c r="E3" s="157" t="s">
        <v>84</v>
      </c>
      <c r="F3" s="158" t="s">
        <v>99</v>
      </c>
      <c r="G3" s="157" t="s">
        <v>84</v>
      </c>
    </row>
    <row r="4" spans="1:7" x14ac:dyDescent="0.3">
      <c r="A4" s="123" t="s">
        <v>85</v>
      </c>
      <c r="B4" s="124">
        <v>750</v>
      </c>
      <c r="C4" s="160">
        <v>0</v>
      </c>
      <c r="D4" s="153">
        <f>Residential!$I$44</f>
        <v>-0.70273139705999643</v>
      </c>
      <c r="E4" s="129">
        <f>Residential!$J$44</f>
        <v>-6.0987601289654711E-3</v>
      </c>
      <c r="F4" s="164">
        <v>1.6653470399999983</v>
      </c>
      <c r="G4" s="129">
        <v>1.4452964775637496E-2</v>
      </c>
    </row>
    <row r="5" spans="1:7" x14ac:dyDescent="0.3">
      <c r="A5" s="126" t="s">
        <v>85</v>
      </c>
      <c r="B5" s="127">
        <v>825</v>
      </c>
      <c r="C5" s="161">
        <v>0</v>
      </c>
      <c r="D5" s="153">
        <f>Residential!$I$94</f>
        <v>-0.93953924076600026</v>
      </c>
      <c r="E5" s="129">
        <f>Residential!$J$94</f>
        <v>-7.5771768622877982E-3</v>
      </c>
      <c r="F5" s="164">
        <v>1.6653470399999983</v>
      </c>
      <c r="G5" s="129">
        <v>1.3430656764138529E-2</v>
      </c>
    </row>
    <row r="6" spans="1:7" x14ac:dyDescent="0.3">
      <c r="A6" s="126" t="s">
        <v>85</v>
      </c>
      <c r="B6" s="127">
        <v>367</v>
      </c>
      <c r="C6" s="161">
        <v>0</v>
      </c>
      <c r="D6" s="153">
        <f>Residential!$U$46</f>
        <v>0.50656732479863087</v>
      </c>
      <c r="E6" s="129">
        <f>Residential!$V$46</f>
        <v>7.1918352603277964E-3</v>
      </c>
      <c r="F6" s="164">
        <v>1.6653470399999983</v>
      </c>
      <c r="G6" s="129">
        <v>2.3643257226895826E-2</v>
      </c>
    </row>
    <row r="7" spans="1:7" x14ac:dyDescent="0.3">
      <c r="A7" s="130" t="s">
        <v>85</v>
      </c>
      <c r="B7" s="131">
        <v>2000</v>
      </c>
      <c r="C7" s="162">
        <v>0</v>
      </c>
      <c r="D7" s="154">
        <f>Residential!$U$94</f>
        <v>-4.649528792159999</v>
      </c>
      <c r="E7" s="132">
        <f>Residential!$V$94</f>
        <v>-1.7786824651368927E-2</v>
      </c>
      <c r="F7" s="165">
        <v>1.6653470399999983</v>
      </c>
      <c r="G7" s="132">
        <v>6.3708038186801536E-3</v>
      </c>
    </row>
    <row r="8" spans="1:7" x14ac:dyDescent="0.3">
      <c r="A8" s="123" t="s">
        <v>86</v>
      </c>
      <c r="B8" s="124">
        <v>2000</v>
      </c>
      <c r="C8" s="160">
        <v>0</v>
      </c>
      <c r="D8" s="155">
        <f>'GS&lt;50'!$I$45</f>
        <v>-3.8244429574399961</v>
      </c>
      <c r="E8" s="125">
        <f>'GS&lt;50'!$J$45</f>
        <v>-1.2999785927025942E-2</v>
      </c>
      <c r="F8" s="163">
        <v>3.6906780400000008</v>
      </c>
      <c r="G8" s="125">
        <v>1.2545101333578577E-2</v>
      </c>
    </row>
    <row r="9" spans="1:7" x14ac:dyDescent="0.3">
      <c r="A9" s="126" t="s">
        <v>86</v>
      </c>
      <c r="B9" s="127">
        <v>272</v>
      </c>
      <c r="C9" s="161">
        <v>0</v>
      </c>
      <c r="D9" s="153">
        <f>'GS&lt;50'!$I$92</f>
        <v>0.43468875874815505</v>
      </c>
      <c r="E9" s="129">
        <f>'GS&lt;50'!$J$92</f>
        <v>7.7702325004193407E-3</v>
      </c>
      <c r="F9" s="164">
        <v>1.456745214399999</v>
      </c>
      <c r="G9" s="129">
        <v>2.6039893560530811E-2</v>
      </c>
    </row>
    <row r="10" spans="1:7" x14ac:dyDescent="0.3">
      <c r="A10" s="126" t="s">
        <v>86</v>
      </c>
      <c r="B10" s="127">
        <v>3000</v>
      </c>
      <c r="C10" s="161">
        <v>0</v>
      </c>
      <c r="D10" s="153">
        <f>'GS&lt;50'!$I$139</f>
        <v>-6.289218256159991</v>
      </c>
      <c r="E10" s="129">
        <f>'GS&lt;50'!$J$139</f>
        <v>-1.4556054492600248E-2</v>
      </c>
      <c r="F10" s="164">
        <v>4.9834632399999945</v>
      </c>
      <c r="G10" s="129">
        <v>1.1533955338926431E-2</v>
      </c>
    </row>
    <row r="11" spans="1:7" x14ac:dyDescent="0.3">
      <c r="A11" s="123" t="s">
        <v>87</v>
      </c>
      <c r="B11" s="124">
        <v>19740</v>
      </c>
      <c r="C11" s="160">
        <v>55</v>
      </c>
      <c r="D11" s="155">
        <f>'GS&gt;50'!$I$45</f>
        <v>-52.409344039010122</v>
      </c>
      <c r="E11" s="125">
        <f>'GS&gt;50'!$J$45</f>
        <v>-1.549946416143036E-2</v>
      </c>
      <c r="F11" s="163">
        <v>35.933531049999885</v>
      </c>
      <c r="G11" s="125">
        <v>1.0626930882564766E-2</v>
      </c>
    </row>
    <row r="12" spans="1:7" x14ac:dyDescent="0.3">
      <c r="A12" s="126" t="s">
        <v>87</v>
      </c>
      <c r="B12" s="127">
        <v>57220</v>
      </c>
      <c r="C12" s="161">
        <v>145</v>
      </c>
      <c r="D12" s="153">
        <f>'GS&gt;50'!$I$92</f>
        <v>-170.86947847163015</v>
      </c>
      <c r="E12" s="129">
        <f>'GS&gt;50'!$J$92</f>
        <v>-1.8202075878986552E-2</v>
      </c>
      <c r="F12" s="164">
        <v>80.848013949999924</v>
      </c>
      <c r="G12" s="129">
        <v>8.6124315339769445E-3</v>
      </c>
    </row>
    <row r="13" spans="1:7" x14ac:dyDescent="0.3">
      <c r="A13" s="126" t="s">
        <v>87</v>
      </c>
      <c r="B13" s="127">
        <v>142465</v>
      </c>
      <c r="C13" s="161">
        <v>452</v>
      </c>
      <c r="D13" s="153">
        <f>'GS&gt;50'!$I$139</f>
        <v>-420.16185363555081</v>
      </c>
      <c r="E13" s="129">
        <f>'GS&gt;50'!$J$139</f>
        <v>-1.7404070054652086E-2</v>
      </c>
      <c r="F13" s="164">
        <v>234.05630561999965</v>
      </c>
      <c r="G13" s="129">
        <v>9.6951503438408807E-3</v>
      </c>
    </row>
    <row r="14" spans="1:7" ht="15" thickBot="1" x14ac:dyDescent="0.35">
      <c r="A14" s="133" t="s">
        <v>87</v>
      </c>
      <c r="B14" s="176">
        <v>169620</v>
      </c>
      <c r="C14" s="177">
        <v>468</v>
      </c>
      <c r="D14" s="175">
        <f>'GS&gt;50'!$I$186</f>
        <v>-515.67327146823868</v>
      </c>
      <c r="E14" s="195">
        <f>'GS&gt;50'!$J$186</f>
        <v>-1.8438769402504263E-2</v>
      </c>
      <c r="F14" s="175">
        <v>242.04110257999938</v>
      </c>
      <c r="G14" s="196">
        <v>8.6545887160168027E-3</v>
      </c>
    </row>
  </sheetData>
  <mergeCells count="2">
    <mergeCell ref="D1:E2"/>
    <mergeCell ref="F1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Rates</vt:lpstr>
      <vt:lpstr>Residential</vt:lpstr>
      <vt:lpstr>GS&lt;50</vt:lpstr>
      <vt:lpstr>GS&gt;50</vt:lpstr>
      <vt:lpstr>Summary</vt:lpstr>
    </vt:vector>
  </TitlesOfParts>
  <Company>PUC Services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Belsito</dc:creator>
  <cp:lastModifiedBy>Tyler Kasubeck</cp:lastModifiedBy>
  <cp:lastPrinted>2020-02-11T15:23:46Z</cp:lastPrinted>
  <dcterms:created xsi:type="dcterms:W3CDTF">2018-12-13T15:06:36Z</dcterms:created>
  <dcterms:modified xsi:type="dcterms:W3CDTF">2021-01-13T13:30:53Z</dcterms:modified>
</cp:coreProperties>
</file>