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G:\Applications Department\Application Policy and Conservation\Electricity CDM and LRAM\CDM\LRAM-SSM\2021 LRAM\Fort Frances\"/>
    </mc:Choice>
  </mc:AlternateContent>
  <xr:revisionPtr revIDLastSave="0" documentId="13_ncr:1_{CBC36CD3-D46D-4416-9643-9167B1CC11C8}" xr6:coauthVersionLast="45" xr6:coauthVersionMax="46" xr10:uidLastSave="{00000000-0000-0000-0000-000000000000}"/>
  <bookViews>
    <workbookView xWindow="-108" yWindow="-108" windowWidth="23256" windowHeight="12576" tabRatio="793"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Report'!$C$26:$BT$50</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'3-a.  Rate Class Allocations'!$A$1:$X$44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9" i="85" l="1"/>
  <c r="P28" i="85"/>
  <c r="K33" i="85"/>
  <c r="K32" i="85"/>
  <c r="K31" i="85"/>
  <c r="K30" i="85"/>
  <c r="K29" i="85"/>
  <c r="K28" i="85"/>
  <c r="N305" i="79" l="1"/>
  <c r="N308" i="79"/>
  <c r="P27" i="85" l="1"/>
  <c r="P49" i="85" s="1"/>
  <c r="C28" i="85" s="1"/>
  <c r="K27" i="85"/>
  <c r="K49" i="85" s="1"/>
  <c r="C27" i="85" s="1"/>
  <c r="D28" i="85" l="1"/>
  <c r="F28" i="85" s="1"/>
  <c r="F39" i="85" s="1"/>
  <c r="I50" i="44" l="1"/>
  <c r="H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6"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F53" i="44" l="1"/>
  <c r="F50" i="44"/>
  <c r="G53" i="44"/>
  <c r="G50"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AK564" i="79" s="1"/>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73" i="79" l="1"/>
  <c r="Y522" i="46"/>
  <c r="AD522" i="46"/>
  <c r="I64" i="43" s="1"/>
  <c r="Y1117" i="79"/>
  <c r="Y1123" i="79"/>
  <c r="AI517" i="46"/>
  <c r="AI520" i="46"/>
  <c r="AF518" i="46"/>
  <c r="AF520" i="46"/>
  <c r="Y518" i="46"/>
  <c r="Y517" i="46"/>
  <c r="Y519" i="46"/>
  <c r="Y520" i="46"/>
  <c r="AA522" i="46"/>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AD747" i="79"/>
  <c r="AC747" i="79"/>
  <c r="AC757" i="79" s="1"/>
  <c r="H76" i="43" s="1"/>
  <c r="AJ747" i="79"/>
  <c r="AJ757" i="79" s="1"/>
  <c r="O76" i="43" s="1"/>
  <c r="AH747" i="79"/>
  <c r="AH757" i="79" s="1"/>
  <c r="M76" i="43" s="1"/>
  <c r="AA747" i="79"/>
  <c r="AA757" i="79" s="1"/>
  <c r="AB747" i="79"/>
  <c r="AB757" i="79"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P73" i="43"/>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AD517" i="46"/>
  <c r="AB522" i="46"/>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756" i="79" l="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AM131" i="46"/>
  <c r="C93" i="43" s="1"/>
  <c r="AM262" i="46"/>
  <c r="D104" i="43" s="1"/>
  <c r="AM518" i="46"/>
  <c r="AM132" i="46"/>
  <c r="C104" i="43" s="1"/>
  <c r="AM520" i="46"/>
  <c r="AM260" i="46"/>
  <c r="AM519" i="46"/>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AD389" i="79"/>
  <c r="I70" i="43" s="1"/>
  <c r="Z383" i="79"/>
  <c r="AL567" i="79"/>
  <c r="Z387" i="79"/>
  <c r="AB199" i="79"/>
  <c r="AB385" i="79"/>
  <c r="AK203" i="79"/>
  <c r="AA200" i="79"/>
  <c r="AA205" i="79"/>
  <c r="AE385" i="79"/>
  <c r="AB387" i="79"/>
  <c r="AB386" i="79"/>
  <c r="AB389" i="79"/>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Z385" i="79"/>
  <c r="AC565" i="79"/>
  <c r="AC199" i="79"/>
  <c r="AC387" i="79"/>
  <c r="AF382" i="79"/>
  <c r="AE570" i="79"/>
  <c r="AD566" i="79"/>
  <c r="AC389" i="79"/>
  <c r="H70" i="43" s="1"/>
  <c r="AI571" i="79"/>
  <c r="AI568" i="79"/>
  <c r="AC386" i="79"/>
  <c r="Z205" i="79"/>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AH571" i="79"/>
  <c r="AH570" i="79"/>
  <c r="AH567" i="79"/>
  <c r="AA1120" i="79"/>
  <c r="AA1119" i="79"/>
  <c r="AA1117" i="79"/>
  <c r="AA1115" i="79"/>
  <c r="AA1122" i="79"/>
  <c r="AA1114" i="79"/>
  <c r="AA1121" i="79"/>
  <c r="AA1123" i="79"/>
  <c r="AA1118" i="79"/>
  <c r="AA1116" i="79"/>
  <c r="AI387" i="79"/>
  <c r="Z565" i="79"/>
  <c r="Z567" i="79"/>
  <c r="Z573" i="79"/>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AM383" i="79" s="1"/>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D75" i="43"/>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2"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R54" i="43" l="1"/>
  <c r="Z756" i="79"/>
  <c r="Y572" i="79"/>
  <c r="AM382" i="79"/>
  <c r="AM384" i="79"/>
  <c r="AM205" i="79"/>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G104" i="43"/>
  <c r="AM936" i="79"/>
  <c r="AM755" i="79"/>
  <c r="AM939" i="79"/>
  <c r="AM938" i="79"/>
  <c r="AM757" i="79"/>
  <c r="D103" i="43"/>
  <c r="C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E75" i="43"/>
  <c r="J94" i="43"/>
  <c r="L97" i="43"/>
  <c r="AL756" i="79"/>
  <c r="Q75" i="43" s="1"/>
  <c r="AF756" i="79"/>
  <c r="K75" i="43" s="1"/>
  <c r="AD940" i="79"/>
  <c r="I78" i="43" s="1"/>
  <c r="J95" i="43"/>
  <c r="I96" i="43"/>
  <c r="D72"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U202" i="47" l="1"/>
  <c r="V197" i="47"/>
  <c r="M202" i="47"/>
  <c r="L171" i="47"/>
  <c r="R227" i="47"/>
  <c r="N191" i="47"/>
  <c r="T175" i="47"/>
  <c r="S225" i="47"/>
  <c r="Q215" i="47"/>
  <c r="P189" i="47"/>
  <c r="K191" i="47"/>
  <c r="K201" i="47"/>
  <c r="K233" i="47"/>
  <c r="K202" i="47"/>
  <c r="K230" i="47"/>
  <c r="K221" i="47"/>
  <c r="K215" i="47"/>
  <c r="K171" i="47"/>
  <c r="K169" i="47"/>
  <c r="K186" i="47"/>
  <c r="K227" i="47"/>
  <c r="K231" i="47"/>
  <c r="K200" i="47"/>
  <c r="K173" i="47"/>
  <c r="K232" i="47"/>
  <c r="K218" i="47"/>
  <c r="K225" i="47"/>
  <c r="K195" i="47"/>
  <c r="K203" i="47"/>
  <c r="K226" i="47"/>
  <c r="K205" i="47"/>
  <c r="K198" i="47"/>
  <c r="K211" i="47"/>
  <c r="K206" i="47"/>
  <c r="K167" i="47"/>
  <c r="K172" i="47"/>
  <c r="K213" i="47"/>
  <c r="K182" i="47"/>
  <c r="K174" i="47"/>
  <c r="K180" i="47"/>
  <c r="K181" i="47"/>
  <c r="K235" i="47"/>
  <c r="K217" i="47"/>
  <c r="K204" i="47"/>
  <c r="K188" i="47"/>
  <c r="K229" i="47"/>
  <c r="K219" i="47"/>
  <c r="K184" i="47"/>
  <c r="H20" i="43"/>
  <c r="Q231" i="47"/>
  <c r="U172" i="47"/>
  <c r="M203" i="47"/>
  <c r="S213" i="47"/>
  <c r="K189" i="47"/>
  <c r="P217" i="47"/>
  <c r="Q165" i="47"/>
  <c r="N229" i="47"/>
  <c r="R213" i="47"/>
  <c r="S235" i="47"/>
  <c r="T191" i="47"/>
  <c r="V201" i="47"/>
  <c r="M236" i="47"/>
  <c r="Q214" i="47"/>
  <c r="K197" i="47"/>
  <c r="U211" i="47"/>
  <c r="L199" i="47"/>
  <c r="T206" i="47"/>
  <c r="N169" i="47"/>
  <c r="V183" i="47"/>
  <c r="Q190" i="47"/>
  <c r="R228" i="47"/>
  <c r="R167" i="47"/>
  <c r="K170" i="47"/>
  <c r="L205" i="47"/>
  <c r="T221" i="47"/>
  <c r="R165" i="47"/>
  <c r="R176" i="47"/>
  <c r="P202" i="47"/>
  <c r="P201" i="47"/>
  <c r="P171" i="47"/>
  <c r="P198" i="47"/>
  <c r="P226" i="47"/>
  <c r="P206" i="47"/>
  <c r="P221" i="47"/>
  <c r="P228" i="47"/>
  <c r="P184" i="47"/>
  <c r="P231" i="47"/>
  <c r="P225" i="47"/>
  <c r="P232" i="47"/>
  <c r="P215" i="47"/>
  <c r="P196" i="47"/>
  <c r="P190" i="47"/>
  <c r="P200" i="47"/>
  <c r="P180" i="47"/>
  <c r="P168" i="47"/>
  <c r="P236" i="47"/>
  <c r="P191" i="47"/>
  <c r="P216" i="47"/>
  <c r="P233" i="47"/>
  <c r="P175" i="47"/>
  <c r="P170" i="47"/>
  <c r="P227" i="47"/>
  <c r="P204" i="47"/>
  <c r="P234" i="47"/>
  <c r="P210" i="47"/>
  <c r="P185" i="47"/>
  <c r="P186" i="47"/>
  <c r="P230" i="47"/>
  <c r="P199" i="47"/>
  <c r="P212" i="47"/>
  <c r="E36" i="43"/>
  <c r="P205" i="47"/>
  <c r="P214" i="47"/>
  <c r="P229" i="47"/>
  <c r="P165" i="47"/>
  <c r="R235" i="47"/>
  <c r="S175" i="47"/>
  <c r="M186" i="47"/>
  <c r="P166" i="47"/>
  <c r="K175" i="47"/>
  <c r="L227" i="47"/>
  <c r="R184" i="47"/>
  <c r="N195" i="47"/>
  <c r="U225" i="47"/>
  <c r="P169" i="47"/>
  <c r="P211" i="47"/>
  <c r="Q172" i="47"/>
  <c r="M212" i="47"/>
  <c r="R236" i="47"/>
  <c r="K183" i="47"/>
  <c r="S210" i="47"/>
  <c r="L197" i="47"/>
  <c r="P203" i="47"/>
  <c r="N173" i="47"/>
  <c r="Q187" i="47"/>
  <c r="R197" i="47"/>
  <c r="S169" i="47"/>
  <c r="M216" i="47"/>
  <c r="S167" i="47"/>
  <c r="K166" i="47"/>
  <c r="L198" i="47"/>
  <c r="N211" i="47"/>
  <c r="U165" i="47"/>
  <c r="T170" i="47"/>
  <c r="P235" i="47"/>
  <c r="U232" i="47"/>
  <c r="T186" i="47"/>
  <c r="M170" i="47"/>
  <c r="K236" i="47"/>
  <c r="V184" i="47"/>
  <c r="L217" i="47"/>
  <c r="U185" i="47"/>
  <c r="N189" i="47"/>
  <c r="T168" i="47"/>
  <c r="R217" i="47"/>
  <c r="V217" i="47"/>
  <c r="R171" i="47"/>
  <c r="M206" i="47"/>
  <c r="S171" i="47"/>
  <c r="K199" i="47"/>
  <c r="T215" i="47"/>
  <c r="L169" i="47"/>
  <c r="N215" i="47"/>
  <c r="V219" i="47"/>
  <c r="R190" i="47"/>
  <c r="U191" i="47"/>
  <c r="T165" i="47"/>
  <c r="M232" i="47"/>
  <c r="T196" i="47"/>
  <c r="Q213" i="47"/>
  <c r="L182" i="47"/>
  <c r="N232" i="47"/>
  <c r="T189" i="47"/>
  <c r="R57" i="43"/>
  <c r="J213" i="47"/>
  <c r="J226" i="47"/>
  <c r="J216" i="47"/>
  <c r="J186" i="47"/>
  <c r="J202" i="47"/>
  <c r="J181" i="47"/>
  <c r="J175" i="47"/>
  <c r="J229" i="47"/>
  <c r="J219" i="47"/>
  <c r="J212" i="47"/>
  <c r="J182" i="47"/>
  <c r="J198" i="47"/>
  <c r="J188" i="47"/>
  <c r="J165" i="47"/>
  <c r="J225" i="47"/>
  <c r="J215" i="47"/>
  <c r="J210" i="47"/>
  <c r="J205" i="47"/>
  <c r="J180" i="47"/>
  <c r="J203" i="47"/>
  <c r="J173" i="47"/>
  <c r="J236" i="47"/>
  <c r="J218" i="47"/>
  <c r="J211" i="47"/>
  <c r="E30" i="43"/>
  <c r="J201" i="47"/>
  <c r="J189" i="47"/>
  <c r="J195" i="47"/>
  <c r="J168" i="47"/>
  <c r="J232" i="47"/>
  <c r="J214" i="47"/>
  <c r="J235" i="47"/>
  <c r="J204" i="47"/>
  <c r="J191" i="47"/>
  <c r="J184" i="47"/>
  <c r="J167" i="47"/>
  <c r="J176" i="47"/>
  <c r="J228" i="47"/>
  <c r="J233" i="47"/>
  <c r="J231" i="47"/>
  <c r="J200" i="47"/>
  <c r="J187" i="47"/>
  <c r="J185" i="47"/>
  <c r="J169" i="47"/>
  <c r="J166" i="47"/>
  <c r="J221" i="47"/>
  <c r="J234" i="47"/>
  <c r="J227" i="47"/>
  <c r="J197" i="47"/>
  <c r="J183" i="47"/>
  <c r="J199" i="47"/>
  <c r="J170" i="47"/>
  <c r="J172" i="47"/>
  <c r="J217" i="47"/>
  <c r="J230" i="47"/>
  <c r="J220" i="47"/>
  <c r="J190" i="47"/>
  <c r="J206" i="47"/>
  <c r="J196" i="47"/>
  <c r="J174" i="47"/>
  <c r="J171" i="47"/>
  <c r="U47" i="47"/>
  <c r="U200" i="47"/>
  <c r="U183" i="47"/>
  <c r="U180" i="47"/>
  <c r="U204" i="47"/>
  <c r="U184" i="47"/>
  <c r="U196" i="47"/>
  <c r="U236" i="47"/>
  <c r="U203" i="47"/>
  <c r="U186" i="47"/>
  <c r="U168" i="47"/>
  <c r="U210" i="47"/>
  <c r="U176" i="47"/>
  <c r="U226" i="47"/>
  <c r="U170" i="47"/>
  <c r="U190" i="47"/>
  <c r="U174" i="47"/>
  <c r="U171" i="47"/>
  <c r="U206" i="47"/>
  <c r="U175" i="47"/>
  <c r="U229" i="47"/>
  <c r="U213" i="47"/>
  <c r="U219" i="47"/>
  <c r="U216" i="47"/>
  <c r="U217" i="47"/>
  <c r="U198" i="47"/>
  <c r="U189" i="47"/>
  <c r="U173" i="47"/>
  <c r="U220" i="47"/>
  <c r="U181" i="47"/>
  <c r="U182" i="47"/>
  <c r="U166" i="47"/>
  <c r="E41" i="43"/>
  <c r="U197" i="47"/>
  <c r="U235" i="47"/>
  <c r="U233" i="47"/>
  <c r="U169" i="47"/>
  <c r="U212" i="47"/>
  <c r="U214" i="47"/>
  <c r="U215" i="47"/>
  <c r="U230" i="47"/>
  <c r="V168" i="47"/>
  <c r="S215" i="47"/>
  <c r="P183" i="47"/>
  <c r="M173" i="47"/>
  <c r="K214" i="47"/>
  <c r="Q196" i="47"/>
  <c r="L206" i="47"/>
  <c r="S196" i="47"/>
  <c r="N187" i="47"/>
  <c r="P174" i="47"/>
  <c r="V200" i="47"/>
  <c r="Q229" i="47"/>
  <c r="U201" i="47"/>
  <c r="M199" i="47"/>
  <c r="T174" i="47"/>
  <c r="K168" i="47"/>
  <c r="P220" i="47"/>
  <c r="N236" i="47"/>
  <c r="Q235" i="47"/>
  <c r="U221" i="47"/>
  <c r="S228" i="47"/>
  <c r="P173" i="47"/>
  <c r="P188" i="47"/>
  <c r="R225" i="47"/>
  <c r="N218" i="47"/>
  <c r="P187" i="47"/>
  <c r="P219" i="47"/>
  <c r="I235" i="47"/>
  <c r="I217" i="47"/>
  <c r="I215" i="47"/>
  <c r="I198" i="47"/>
  <c r="E29" i="43"/>
  <c r="I201" i="47"/>
  <c r="I202" i="47"/>
  <c r="I175" i="47"/>
  <c r="I231" i="47"/>
  <c r="I213" i="47"/>
  <c r="I211" i="47"/>
  <c r="I195" i="47"/>
  <c r="I204" i="47"/>
  <c r="I165" i="47"/>
  <c r="I187" i="47"/>
  <c r="I172" i="47"/>
  <c r="I225" i="47"/>
  <c r="I214" i="47"/>
  <c r="I220" i="47"/>
  <c r="I196" i="47"/>
  <c r="I200" i="47"/>
  <c r="I191" i="47"/>
  <c r="I199" i="47"/>
  <c r="I176" i="47"/>
  <c r="I218" i="47"/>
  <c r="I210" i="47"/>
  <c r="I216" i="47"/>
  <c r="I189" i="47"/>
  <c r="I167" i="47"/>
  <c r="I203" i="47"/>
  <c r="I188" i="47"/>
  <c r="I174" i="47"/>
  <c r="I236" i="47"/>
  <c r="I234" i="47"/>
  <c r="I212" i="47"/>
  <c r="I185" i="47"/>
  <c r="I190" i="47"/>
  <c r="I183" i="47"/>
  <c r="I206" i="47"/>
  <c r="I170" i="47"/>
  <c r="I232" i="47"/>
  <c r="I230" i="47"/>
  <c r="I229" i="47"/>
  <c r="I181" i="47"/>
  <c r="I186" i="47"/>
  <c r="I180" i="47"/>
  <c r="I169" i="47"/>
  <c r="I150" i="47"/>
  <c r="I228" i="47"/>
  <c r="I226" i="47"/>
  <c r="I227" i="47"/>
  <c r="I168" i="47"/>
  <c r="I182" i="47"/>
  <c r="I184" i="47"/>
  <c r="I171" i="47"/>
  <c r="I221" i="47"/>
  <c r="I219" i="47"/>
  <c r="I233" i="47"/>
  <c r="I197" i="47"/>
  <c r="I205" i="47"/>
  <c r="I166" i="47"/>
  <c r="I173" i="47"/>
  <c r="V220" i="47"/>
  <c r="V227" i="47"/>
  <c r="V221" i="47"/>
  <c r="V176" i="47"/>
  <c r="V167" i="47"/>
  <c r="V232" i="47"/>
  <c r="V236" i="47"/>
  <c r="V235" i="47"/>
  <c r="V199" i="47"/>
  <c r="V170" i="47"/>
  <c r="V214" i="47"/>
  <c r="V180" i="47"/>
  <c r="V226" i="47"/>
  <c r="V225" i="47"/>
  <c r="V213" i="47"/>
  <c r="V196" i="47"/>
  <c r="V191" i="47"/>
  <c r="V171" i="47"/>
  <c r="V185" i="47"/>
  <c r="V182" i="47"/>
  <c r="V233" i="47"/>
  <c r="V210" i="47"/>
  <c r="V173" i="47"/>
  <c r="V186" i="47"/>
  <c r="V211" i="47"/>
  <c r="V174" i="47"/>
  <c r="V215" i="47"/>
  <c r="V230" i="47"/>
  <c r="V198" i="47"/>
  <c r="V172" i="47"/>
  <c r="V187" i="47"/>
  <c r="V205" i="47"/>
  <c r="V175" i="47"/>
  <c r="V181" i="47"/>
  <c r="V188" i="47"/>
  <c r="V229" i="47"/>
  <c r="E42" i="43"/>
  <c r="V195" i="47"/>
  <c r="V204" i="47"/>
  <c r="V165" i="47"/>
  <c r="V234" i="47"/>
  <c r="M229" i="47"/>
  <c r="M213" i="47"/>
  <c r="M182" i="47"/>
  <c r="M166" i="47"/>
  <c r="M214" i="47"/>
  <c r="M174" i="47"/>
  <c r="M215" i="47"/>
  <c r="M219" i="47"/>
  <c r="M185" i="47"/>
  <c r="M181" i="47"/>
  <c r="M228" i="47"/>
  <c r="M218" i="47"/>
  <c r="M233" i="47"/>
  <c r="M188" i="47"/>
  <c r="M204" i="47"/>
  <c r="M234" i="47"/>
  <c r="M171" i="47"/>
  <c r="M169" i="47"/>
  <c r="M231" i="47"/>
  <c r="M195" i="47"/>
  <c r="M168" i="47"/>
  <c r="M180" i="47"/>
  <c r="M217" i="47"/>
  <c r="M210" i="47"/>
  <c r="M176" i="47"/>
  <c r="M225" i="47"/>
  <c r="M190" i="47"/>
  <c r="M201" i="47"/>
  <c r="M226" i="47"/>
  <c r="M221" i="47"/>
  <c r="M197" i="47"/>
  <c r="E33" i="43"/>
  <c r="M184" i="47"/>
  <c r="M230" i="47"/>
  <c r="M187" i="47"/>
  <c r="M191" i="47"/>
  <c r="M165" i="47"/>
  <c r="M198" i="47"/>
  <c r="L81" i="47"/>
  <c r="L186" i="47"/>
  <c r="L190" i="47"/>
  <c r="L215" i="47"/>
  <c r="L236" i="47"/>
  <c r="L189" i="47"/>
  <c r="L216" i="47"/>
  <c r="E32" i="43"/>
  <c r="L180" i="47"/>
  <c r="L225" i="47"/>
  <c r="L219" i="47"/>
  <c r="L204" i="47"/>
  <c r="L183" i="47"/>
  <c r="L187" i="47"/>
  <c r="L170" i="47"/>
  <c r="L229" i="47"/>
  <c r="L195" i="47"/>
  <c r="L210" i="47"/>
  <c r="L221" i="47"/>
  <c r="L228" i="47"/>
  <c r="L166" i="47"/>
  <c r="L165" i="47"/>
  <c r="L201" i="47"/>
  <c r="L231" i="47"/>
  <c r="L235" i="47"/>
  <c r="L196" i="47"/>
  <c r="L175" i="47"/>
  <c r="L212" i="47"/>
  <c r="L181" i="47"/>
  <c r="L214" i="47"/>
  <c r="L218" i="47"/>
  <c r="L184" i="47"/>
  <c r="L185" i="47"/>
  <c r="L226" i="47"/>
  <c r="L174" i="47"/>
  <c r="L191" i="47"/>
  <c r="L188" i="47"/>
  <c r="L233" i="47"/>
  <c r="L167" i="47"/>
  <c r="L176" i="47"/>
  <c r="L232" i="47"/>
  <c r="L172" i="47"/>
  <c r="L168" i="47"/>
  <c r="R180" i="47"/>
  <c r="T226" i="47"/>
  <c r="M235" i="47"/>
  <c r="V228" i="47"/>
  <c r="K220" i="47"/>
  <c r="R212" i="47"/>
  <c r="L203" i="47"/>
  <c r="T203" i="47"/>
  <c r="N174" i="47"/>
  <c r="V190" i="47"/>
  <c r="Q191" i="47"/>
  <c r="R233" i="47"/>
  <c r="S203" i="47"/>
  <c r="M205" i="47"/>
  <c r="P172" i="47"/>
  <c r="K176" i="47"/>
  <c r="L230" i="47"/>
  <c r="Q199" i="47"/>
  <c r="N225" i="47"/>
  <c r="U167" i="47"/>
  <c r="T169" i="47"/>
  <c r="T236" i="47"/>
  <c r="V169" i="47"/>
  <c r="M196" i="47"/>
  <c r="K234" i="47"/>
  <c r="U231" i="47"/>
  <c r="V189" i="47"/>
  <c r="N181" i="47"/>
  <c r="M189" i="47"/>
  <c r="R68" i="47"/>
  <c r="R215" i="47"/>
  <c r="E38" i="43"/>
  <c r="R226" i="47"/>
  <c r="R229" i="47"/>
  <c r="R182" i="47"/>
  <c r="R186" i="47"/>
  <c r="R181" i="47"/>
  <c r="R185" i="47"/>
  <c r="R205" i="47"/>
  <c r="R199" i="47"/>
  <c r="R211" i="47"/>
  <c r="R202" i="47"/>
  <c r="R169" i="47"/>
  <c r="R166" i="47"/>
  <c r="R204" i="47"/>
  <c r="R173" i="47"/>
  <c r="R172" i="47"/>
  <c r="R168" i="47"/>
  <c r="R201" i="47"/>
  <c r="R216" i="47"/>
  <c r="R231" i="47"/>
  <c r="R230" i="47"/>
  <c r="R200" i="47"/>
  <c r="R220" i="47"/>
  <c r="R187" i="47"/>
  <c r="R196" i="47"/>
  <c r="R232" i="47"/>
  <c r="R214" i="47"/>
  <c r="R189" i="47"/>
  <c r="R195" i="47"/>
  <c r="R203" i="47"/>
  <c r="R170" i="47"/>
  <c r="R210" i="47"/>
  <c r="R221" i="47"/>
  <c r="R174" i="47"/>
  <c r="R234" i="47"/>
  <c r="R191" i="47"/>
  <c r="O98" i="47"/>
  <c r="O235" i="47"/>
  <c r="O229" i="47"/>
  <c r="O230" i="47"/>
  <c r="O188" i="47"/>
  <c r="O185" i="47"/>
  <c r="O202" i="47"/>
  <c r="O175" i="47"/>
  <c r="O166" i="47"/>
  <c r="O231" i="47"/>
  <c r="O225" i="47"/>
  <c r="O219" i="47"/>
  <c r="O184" i="47"/>
  <c r="O204" i="47"/>
  <c r="O181" i="47"/>
  <c r="O170" i="47"/>
  <c r="O174" i="47"/>
  <c r="O227" i="47"/>
  <c r="O218" i="47"/>
  <c r="O215" i="47"/>
  <c r="O180" i="47"/>
  <c r="O200" i="47"/>
  <c r="O191" i="47"/>
  <c r="O165" i="47"/>
  <c r="O173" i="47"/>
  <c r="O220" i="47"/>
  <c r="O214" i="47"/>
  <c r="O236" i="47"/>
  <c r="E35" i="43"/>
  <c r="O197" i="47"/>
  <c r="O182" i="47"/>
  <c r="O168" i="47"/>
  <c r="O216" i="47"/>
  <c r="O210" i="47"/>
  <c r="O228" i="47"/>
  <c r="O203" i="47"/>
  <c r="O190" i="47"/>
  <c r="O183" i="47"/>
  <c r="O176" i="47"/>
  <c r="O212" i="47"/>
  <c r="O226" i="47"/>
  <c r="O213" i="47"/>
  <c r="O199" i="47"/>
  <c r="O201" i="47"/>
  <c r="O198" i="47"/>
  <c r="O171" i="47"/>
  <c r="O211" i="47"/>
  <c r="O221" i="47"/>
  <c r="O217" i="47"/>
  <c r="O206" i="47"/>
  <c r="O196" i="47"/>
  <c r="O205" i="47"/>
  <c r="O186" i="47"/>
  <c r="O169" i="47"/>
  <c r="O232" i="47"/>
  <c r="O233" i="47"/>
  <c r="O234" i="47"/>
  <c r="O195" i="47"/>
  <c r="O189" i="47"/>
  <c r="O187" i="47"/>
  <c r="O167" i="47"/>
  <c r="O172" i="47"/>
  <c r="S195" i="47"/>
  <c r="P213" i="47"/>
  <c r="M211" i="47"/>
  <c r="Q218" i="47"/>
  <c r="E31" i="43"/>
  <c r="U218" i="47"/>
  <c r="L200" i="47"/>
  <c r="P197" i="47"/>
  <c r="N172" i="47"/>
  <c r="Q195" i="47"/>
  <c r="R183" i="47"/>
  <c r="U234" i="47"/>
  <c r="T181" i="47"/>
  <c r="M172" i="47"/>
  <c r="K228" i="47"/>
  <c r="V218" i="47"/>
  <c r="L220" i="47"/>
  <c r="R198" i="47"/>
  <c r="N188" i="47"/>
  <c r="S166" i="47"/>
  <c r="P195" i="47"/>
  <c r="P218" i="47"/>
  <c r="R188" i="47"/>
  <c r="M200" i="47"/>
  <c r="K212" i="47"/>
  <c r="P176" i="47"/>
  <c r="Q204" i="47"/>
  <c r="T218" i="47"/>
  <c r="T190" i="47"/>
  <c r="N176" i="47"/>
  <c r="N168" i="47"/>
  <c r="N206" i="47"/>
  <c r="E34" i="43"/>
  <c r="N184" i="47"/>
  <c r="N166" i="47"/>
  <c r="N171" i="47"/>
  <c r="N217" i="47"/>
  <c r="N210" i="47"/>
  <c r="N175" i="47"/>
  <c r="N205" i="47"/>
  <c r="N186" i="47"/>
  <c r="N216" i="47"/>
  <c r="N221" i="47"/>
  <c r="N182" i="47"/>
  <c r="N196" i="47"/>
  <c r="N199" i="47"/>
  <c r="N234" i="47"/>
  <c r="N227" i="47"/>
  <c r="N204" i="47"/>
  <c r="N198" i="47"/>
  <c r="N202" i="47"/>
  <c r="N170" i="47"/>
  <c r="N180" i="47"/>
  <c r="N233" i="47"/>
  <c r="N213" i="47"/>
  <c r="N201" i="47"/>
  <c r="N165" i="47"/>
  <c r="N214" i="47"/>
  <c r="N235" i="47"/>
  <c r="N212" i="47"/>
  <c r="N190" i="47"/>
  <c r="N183" i="47"/>
  <c r="N228" i="47"/>
  <c r="N226" i="47"/>
  <c r="N230" i="47"/>
  <c r="N203" i="47"/>
  <c r="N200" i="47"/>
  <c r="N220" i="47"/>
  <c r="P181" i="47"/>
  <c r="Q167" i="47"/>
  <c r="M220" i="47"/>
  <c r="R218" i="47"/>
  <c r="K187" i="47"/>
  <c r="S220" i="47"/>
  <c r="L173" i="47"/>
  <c r="N219" i="47"/>
  <c r="V212" i="47"/>
  <c r="R206" i="47"/>
  <c r="U195" i="47"/>
  <c r="S233" i="47"/>
  <c r="P182" i="47"/>
  <c r="M175" i="47"/>
  <c r="K210" i="47"/>
  <c r="L213" i="47"/>
  <c r="U199" i="47"/>
  <c r="N185" i="47"/>
  <c r="V216" i="47"/>
  <c r="U205" i="47"/>
  <c r="M167" i="47"/>
  <c r="K190" i="47"/>
  <c r="L211" i="47"/>
  <c r="U188" i="47"/>
  <c r="N167" i="47"/>
  <c r="V202" i="47"/>
  <c r="K165" i="47"/>
  <c r="T75" i="47"/>
  <c r="T187" i="47"/>
  <c r="T216" i="47"/>
  <c r="T172" i="47"/>
  <c r="T195" i="47"/>
  <c r="T184" i="47"/>
  <c r="T185" i="47"/>
  <c r="T197" i="47"/>
  <c r="T166" i="47"/>
  <c r="T167" i="47"/>
  <c r="T213" i="47"/>
  <c r="T180" i="47"/>
  <c r="T231" i="47"/>
  <c r="T219" i="47"/>
  <c r="T171" i="47"/>
  <c r="T214" i="47"/>
  <c r="T212" i="47"/>
  <c r="T235" i="47"/>
  <c r="T201" i="47"/>
  <c r="T198" i="47"/>
  <c r="T233" i="47"/>
  <c r="T199" i="47"/>
  <c r="E40" i="43"/>
  <c r="T211" i="47"/>
  <c r="T173" i="47"/>
  <c r="T232" i="47"/>
  <c r="T204" i="47"/>
  <c r="T205" i="47"/>
  <c r="T234" i="47"/>
  <c r="T220" i="47"/>
  <c r="T176" i="47"/>
  <c r="T210" i="47"/>
  <c r="T225" i="47"/>
  <c r="T182" i="47"/>
  <c r="T228" i="47"/>
  <c r="T188" i="47"/>
  <c r="T217" i="47"/>
  <c r="T202" i="47"/>
  <c r="T230" i="47"/>
  <c r="T183" i="47"/>
  <c r="T200" i="47"/>
  <c r="S197" i="47"/>
  <c r="S191" i="47"/>
  <c r="S226" i="47"/>
  <c r="S205" i="47"/>
  <c r="S200" i="47"/>
  <c r="S185" i="47"/>
  <c r="S188" i="47"/>
  <c r="S212" i="47"/>
  <c r="S176" i="47"/>
  <c r="S204" i="47"/>
  <c r="S184" i="47"/>
  <c r="S168" i="47"/>
  <c r="S165" i="47"/>
  <c r="S190" i="47"/>
  <c r="S189" i="47"/>
  <c r="S227" i="47"/>
  <c r="S211" i="47"/>
  <c r="S218" i="47"/>
  <c r="S221" i="47"/>
  <c r="S231" i="47"/>
  <c r="S182" i="47"/>
  <c r="S206" i="47"/>
  <c r="S234" i="47"/>
  <c r="S181" i="47"/>
  <c r="S199" i="47"/>
  <c r="S170" i="47"/>
  <c r="S232" i="47"/>
  <c r="S217" i="47"/>
  <c r="S174" i="47"/>
  <c r="S183" i="47"/>
  <c r="S236" i="47"/>
  <c r="S172" i="47"/>
  <c r="S186" i="47"/>
  <c r="S230" i="47"/>
  <c r="S216" i="47"/>
  <c r="S214" i="47"/>
  <c r="S229" i="47"/>
  <c r="S173" i="47"/>
  <c r="S219" i="47"/>
  <c r="S198" i="47"/>
  <c r="S180" i="47"/>
  <c r="Q173" i="47"/>
  <c r="Q217" i="47"/>
  <c r="Q232" i="47"/>
  <c r="Q169" i="47"/>
  <c r="Q225" i="47"/>
  <c r="Q205" i="47"/>
  <c r="Q211" i="47"/>
  <c r="Q189" i="47"/>
  <c r="Q219" i="47"/>
  <c r="Q234" i="47"/>
  <c r="Q198" i="47"/>
  <c r="Q182" i="47"/>
  <c r="Q203" i="47"/>
  <c r="Q170" i="47"/>
  <c r="Q200" i="47"/>
  <c r="Q183" i="47"/>
  <c r="Q227" i="47"/>
  <c r="Q202" i="47"/>
  <c r="Q174" i="47"/>
  <c r="Q216" i="47"/>
  <c r="Q220" i="47"/>
  <c r="Q230" i="47"/>
  <c r="Q185" i="47"/>
  <c r="Q186" i="47"/>
  <c r="Q188" i="47"/>
  <c r="Q171" i="47"/>
  <c r="Q166" i="47"/>
  <c r="Q197" i="47"/>
  <c r="E37" i="43"/>
  <c r="Q212" i="47"/>
  <c r="Q226" i="47"/>
  <c r="Q181" i="47"/>
  <c r="Q206" i="47"/>
  <c r="Q201" i="47"/>
  <c r="Q228" i="47"/>
  <c r="Q180" i="47"/>
  <c r="Q210" i="47"/>
  <c r="Q233" i="47"/>
  <c r="Q168" i="47"/>
  <c r="Q184" i="47"/>
  <c r="V206" i="47"/>
  <c r="R175" i="47"/>
  <c r="M183" i="47"/>
  <c r="U227" i="47"/>
  <c r="K185" i="47"/>
  <c r="T227" i="47"/>
  <c r="V166" i="47"/>
  <c r="N231" i="47"/>
  <c r="Q221" i="47"/>
  <c r="U187" i="47"/>
  <c r="S187" i="47"/>
  <c r="T229" i="47"/>
  <c r="M227" i="47"/>
  <c r="V231" i="47"/>
  <c r="K216" i="47"/>
  <c r="R219" i="47"/>
  <c r="L202" i="47"/>
  <c r="S201" i="47"/>
  <c r="N197" i="47"/>
  <c r="P167" i="47"/>
  <c r="V203" i="47"/>
  <c r="Q236" i="47"/>
  <c r="S202" i="47"/>
  <c r="Q175" i="47"/>
  <c r="K196" i="47"/>
  <c r="L234" i="47"/>
  <c r="E39" i="43"/>
  <c r="Q176" i="47"/>
  <c r="U228"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W197" i="47"/>
  <c r="W227" i="47"/>
  <c r="W229" i="47"/>
  <c r="W212" i="47"/>
  <c r="W216" i="47"/>
  <c r="W220" i="47"/>
  <c r="W211" i="47"/>
  <c r="W215" i="47"/>
  <c r="W195" i="47"/>
  <c r="W233" i="47"/>
  <c r="W226" i="47"/>
  <c r="W230" i="47"/>
  <c r="W234" i="47"/>
  <c r="W210" i="47"/>
  <c r="W214" i="47"/>
  <c r="W232" i="47"/>
  <c r="W219" i="47"/>
  <c r="W236" i="47"/>
  <c r="W218" i="47"/>
  <c r="W225" i="47"/>
  <c r="W231" i="47"/>
  <c r="W235" i="47"/>
  <c r="W184" i="47"/>
  <c r="W221" i="47"/>
  <c r="W228" i="47"/>
  <c r="W170" i="47"/>
  <c r="W174" i="47"/>
  <c r="W176" i="47"/>
  <c r="W172" i="47"/>
  <c r="W175" i="47"/>
  <c r="W171" i="47"/>
  <c r="W169" i="47"/>
  <c r="W206" i="47"/>
  <c r="W199" i="47"/>
  <c r="W187" i="47"/>
  <c r="W202" i="47"/>
  <c r="W173" i="47"/>
  <c r="W180" i="47"/>
  <c r="W183" i="47"/>
  <c r="W203" i="47"/>
  <c r="W191" i="47"/>
  <c r="W165" i="47"/>
  <c r="W201" i="47"/>
  <c r="W188" i="47"/>
  <c r="W213" i="47"/>
  <c r="W166" i="47"/>
  <c r="W182" i="47"/>
  <c r="W186" i="47"/>
  <c r="W190" i="47"/>
  <c r="W167" i="47"/>
  <c r="W200" i="47"/>
  <c r="W204" i="47"/>
  <c r="E43" i="43"/>
  <c r="W205" i="47"/>
  <c r="W168" i="47"/>
  <c r="W181" i="47"/>
  <c r="W185" i="47"/>
  <c r="W189" i="47"/>
  <c r="W196" i="47"/>
  <c r="W198" i="47"/>
  <c r="W217"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T164" i="47" l="1"/>
  <c r="T177" i="47" s="1"/>
  <c r="T179" i="47" s="1"/>
  <c r="T192" i="47" s="1"/>
  <c r="T194" i="47" s="1"/>
  <c r="T207" i="47" s="1"/>
  <c r="T209" i="47" s="1"/>
  <c r="T222" i="47" s="1"/>
  <c r="T224" i="47" s="1"/>
  <c r="T237" i="47" s="1"/>
  <c r="O84" i="43" s="1"/>
  <c r="O85" i="43" s="1"/>
  <c r="Q164" i="47"/>
  <c r="Q177" i="47" s="1"/>
  <c r="Q179" i="47" s="1"/>
  <c r="Q192" i="47" s="1"/>
  <c r="Q194" i="47" s="1"/>
  <c r="Q207" i="47" s="1"/>
  <c r="Q209" i="47" s="1"/>
  <c r="Q222" i="47" s="1"/>
  <c r="Q224" i="47" s="1"/>
  <c r="Q237" i="47" s="1"/>
  <c r="L84" i="43" s="1"/>
  <c r="L85" i="43" s="1"/>
  <c r="P164" i="47"/>
  <c r="P177" i="47" s="1"/>
  <c r="P179" i="47" s="1"/>
  <c r="P192" i="47" s="1"/>
  <c r="P194" i="47" s="1"/>
  <c r="P207" i="47" s="1"/>
  <c r="P209" i="47" s="1"/>
  <c r="P222" i="47" s="1"/>
  <c r="P224" i="47" s="1"/>
  <c r="P237" i="47" s="1"/>
  <c r="K84" i="43" s="1"/>
  <c r="K85" i="43" s="1"/>
  <c r="U164" i="47"/>
  <c r="U177" i="47" s="1"/>
  <c r="U179" i="47" s="1"/>
  <c r="U192" i="47" s="1"/>
  <c r="U194" i="47" s="1"/>
  <c r="U207" i="47" s="1"/>
  <c r="U209" i="47" s="1"/>
  <c r="U222" i="47" s="1"/>
  <c r="U224" i="47" s="1"/>
  <c r="U237" i="47" s="1"/>
  <c r="P84" i="43" s="1"/>
  <c r="F41" i="43" s="1"/>
  <c r="G41" i="43" s="1"/>
  <c r="R164" i="47"/>
  <c r="R177" i="47" s="1"/>
  <c r="R179" i="47" s="1"/>
  <c r="R192" i="47" s="1"/>
  <c r="R194" i="47" s="1"/>
  <c r="R207" i="47" s="1"/>
  <c r="R209" i="47" s="1"/>
  <c r="R222" i="47" s="1"/>
  <c r="R224" i="47" s="1"/>
  <c r="R237" i="47" s="1"/>
  <c r="M84" i="43" s="1"/>
  <c r="M85" i="43" s="1"/>
  <c r="V164" i="47"/>
  <c r="V177" i="47" s="1"/>
  <c r="V179" i="47" s="1"/>
  <c r="V192" i="47" s="1"/>
  <c r="V194" i="47" s="1"/>
  <c r="V207" i="47" s="1"/>
  <c r="V209" i="47" s="1"/>
  <c r="V222" i="47" s="1"/>
  <c r="V224" i="47" s="1"/>
  <c r="V237" i="47" s="1"/>
  <c r="Q84" i="43" s="1"/>
  <c r="F42" i="43" s="1"/>
  <c r="G42" i="43" s="1"/>
  <c r="S164" i="47"/>
  <c r="S177" i="47" s="1"/>
  <c r="S179" i="47" s="1"/>
  <c r="S192" i="47" s="1"/>
  <c r="S194" i="47" s="1"/>
  <c r="S207" i="47" s="1"/>
  <c r="S209" i="47" s="1"/>
  <c r="S222" i="47" s="1"/>
  <c r="S224" i="47" s="1"/>
  <c r="S237" i="47" s="1"/>
  <c r="N84" i="43" s="1"/>
  <c r="F39" i="43" s="1"/>
  <c r="G39"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37" i="43"/>
  <c r="G37" i="43" s="1"/>
  <c r="F38" i="43"/>
  <c r="G38" i="43" s="1"/>
  <c r="F36" i="43"/>
  <c r="G36" i="43" s="1"/>
  <c r="P85" i="43"/>
  <c r="J164" i="47"/>
  <c r="J177" i="47" s="1"/>
  <c r="J179" i="47" s="1"/>
  <c r="J192" i="47" s="1"/>
  <c r="J194" i="47" s="1"/>
  <c r="J207" i="47" s="1"/>
  <c r="J209" i="47" s="1"/>
  <c r="J222" i="47" s="1"/>
  <c r="J224" i="47" s="1"/>
  <c r="J237" i="47" s="1"/>
  <c r="E84" i="43" s="1"/>
  <c r="E85" i="43" s="1"/>
  <c r="N85" i="43"/>
  <c r="O164" i="47"/>
  <c r="O177" i="47" s="1"/>
  <c r="O179" i="47" s="1"/>
  <c r="O192" i="47" s="1"/>
  <c r="O194" i="47" s="1"/>
  <c r="O207" i="47" s="1"/>
  <c r="O209" i="47" s="1"/>
  <c r="O222" i="47" s="1"/>
  <c r="O224" i="47" s="1"/>
  <c r="O237" i="47" s="1"/>
  <c r="J84" i="43" s="1"/>
  <c r="F35" i="43" s="1"/>
  <c r="G35" i="43" s="1"/>
  <c r="Q85" i="43"/>
  <c r="M164" i="47"/>
  <c r="M177" i="47" s="1"/>
  <c r="M179" i="47" s="1"/>
  <c r="M192" i="47" s="1"/>
  <c r="M194" i="47" s="1"/>
  <c r="M207" i="47" s="1"/>
  <c r="M209" i="47" s="1"/>
  <c r="M222" i="47" s="1"/>
  <c r="M224" i="47" s="1"/>
  <c r="M237" i="47" s="1"/>
  <c r="H84" i="43" s="1"/>
  <c r="F33" i="43" s="1"/>
  <c r="G33" i="43" s="1"/>
  <c r="N164" i="47"/>
  <c r="N177" i="47" s="1"/>
  <c r="N179" i="47" s="1"/>
  <c r="N192" i="47" s="1"/>
  <c r="N194" i="47" s="1"/>
  <c r="N207" i="47" s="1"/>
  <c r="N209" i="47" s="1"/>
  <c r="N222" i="47" s="1"/>
  <c r="N224" i="47" s="1"/>
  <c r="N237" i="47" s="1"/>
  <c r="I84" i="43" s="1"/>
  <c r="I85"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H85" i="43" l="1"/>
  <c r="F34" i="43"/>
  <c r="G34" i="43" s="1"/>
  <c r="F30" i="43"/>
  <c r="G30" i="43" s="1"/>
  <c r="J85" i="43"/>
  <c r="D85" i="43"/>
  <c r="L164" i="47"/>
  <c r="L177" i="47" s="1"/>
  <c r="L179" i="47" s="1"/>
  <c r="L192" i="47" s="1"/>
  <c r="L194" i="47" s="1"/>
  <c r="L207" i="47" s="1"/>
  <c r="L209" i="47" s="1"/>
  <c r="L222" i="47" s="1"/>
  <c r="L224" i="47" s="1"/>
  <c r="L237" i="47" s="1"/>
  <c r="G84" i="43" s="1"/>
  <c r="G85" i="43" s="1"/>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<sst xmlns="http://schemas.openxmlformats.org/spreadsheetml/2006/main" count="3333" uniqueCount="799">
  <si>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</si>
  <si>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</si>
  <si>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</si>
  <si>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</si>
  <si>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</si>
  <si>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</si>
  <si>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</si>
  <si>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</si>
  <si>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</si>
  <si>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</si>
  <si>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</si>
  <si>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</si>
  <si>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</si>
  <si>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</si>
  <si>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</si>
  <si>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</si>
  <si>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</si>
  <si>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</si>
  <si>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</si>
  <si>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</si>
  <si>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</si>
  <si>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</si>
  <si>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</si>
  <si>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</si>
  <si>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</si>
  <si>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</si>
  <si>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</si>
  <si>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</si>
  <si>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</si>
  <si>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</si>
  <si>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</si>
  <si>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</si>
  <si>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</si>
  <si>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</si>
  <si>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</si>
  <si>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</si>
  <si>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</si>
  <si>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</si>
  <si>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</si>
  <si>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</si>
  <si>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</si>
  <si>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</si>
  <si>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</si>
  <si>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</si>
  <si>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</si>
  <si>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</si>
  <si>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</si>
  <si>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</si>
  <si>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</si>
  <si>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</si>
  <si>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</si>
  <si>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</si>
  <si>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</si>
  <si>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</si>
  <si>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</si>
  <si>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</si>
  <si>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</si>
  <si>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</si>
  <si>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</si>
  <si>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</si>
  <si>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</si>
  <si>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</si>
  <si>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</si>
  <si>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</si>
  <si>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</si>
  <si>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</si>
  <si>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</si>
  <si>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</si>
  <si>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</si>
  <si>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</si>
  <si>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</si>
  <si>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</si>
  <si>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</si>
  <si>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</si>
  <si>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</si>
  <si>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</si>
  <si>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</si>
  <si>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</si>
  <si>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</si>
  <si>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</si>
  <si>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</si>
  <si>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</si>
  <si>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</si>
  <si>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</si>
  <si>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</si>
  <si>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</si>
  <si>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</si>
  <si>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</si>
  <si>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</si>
  <si>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</si>
  <si>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</si>
  <si>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</si>
  <si>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</si>
  <si>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</si>
  <si>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</si>
  <si>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</si>
  <si>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</si>
  <si>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</si>
  <si>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</si>
  <si>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</si>
  <si>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</si>
  <si>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</si>
  <si>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</si>
  <si>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</si>
  <si>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</si>
  <si>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</si>
  <si>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</si>
  <si>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</si>
  <si>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</si>
  <si>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</si>
  <si>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</si>
  <si>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</si>
  <si>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</si>
  <si>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</si>
  <si>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</si>
  <si>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</si>
  <si>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</si>
  <si>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</si>
  <si>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</si>
  <si>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</si>
  <si>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</si>
  <si>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</si>
  <si>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</si>
  <si>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</si>
  <si>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</si>
  <si>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</si>
  <si>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</si>
  <si>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</si>
  <si>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</si>
  <si>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</si>
  <si>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</si>
  <si>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</si>
  <si>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</si>
  <si>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</si>
  <si>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</si>
  <si>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</si>
  <si>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</si>
  <si>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</si>
  <si>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</si>
  <si>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</si>
  <si>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</si>
  <si>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</si>
  <si>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</si>
  <si>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</si>
  <si>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</si>
  <si>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</si>
  <si>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</si>
  <si>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</si>
  <si>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</si>
  <si>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</si>
  <si>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</si>
  <si>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</si>
  <si>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</si>
  <si>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</si>
  <si>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</si>
  <si>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</si>
  <si>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</si>
  <si>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</si>
  <si>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</si>
  <si>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</si>
  <si>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</si>
  <si>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</si>
  <si>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</si>
  <si>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</si>
  <si>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</si>
  <si>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</si>
  <si>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</si>
  <si>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</si>
  <si>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</si>
  <si>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</si>
  <si>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</si>
  <si>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</si>
  <si>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</si>
  <si>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</si>
  <si>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</si>
  <si>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</si>
  <si>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</si>
  <si>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</si>
  <si>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</si>
  <si>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</si>
  <si>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</si>
  <si>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</si>
  <si>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</si>
  <si>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</si>
  <si>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</si>
  <si>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</si>
  <si>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</si>
  <si>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</si>
  <si>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</si>
  <si>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</si>
  <si>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</si>
  <si>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</si>
  <si>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</si>
  <si>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</si>
  <si>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</si>
  <si>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</si>
  <si>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</si>
  <si>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</si>
  <si>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</si>
  <si>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</si>
  <si>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</si>
  <si>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</si>
  <si>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</si>
  <si>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</si>
  <si>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</si>
  <si>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</si>
  <si>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</si>
  <si>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</si>
  <si>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</si>
  <si>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</si>
  <si>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</si>
  <si>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</si>
  <si>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</si>
  <si>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</si>
  <si>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</si>
  <si>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</si>
  <si>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</si>
  <si>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</si>
  <si>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</si>
  <si>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</si>
  <si>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</si>
  <si>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</si>
  <si>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</si>
  <si>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</si>
  <si>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</si>
  <si>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</si>
  <si>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</si>
  <si>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</si>
  <si>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</si>
  <si>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</si>
  <si>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</si>
  <si>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</si>
  <si>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</si>
  <si>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</si>
  <si>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</si>
  <si>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</si>
  <si>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</si>
  <si>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</si>
  <si>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</si>
  <si>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</si>
  <si>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</si>
  <si>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</si>
  <si>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</si>
  <si>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</si>
  <si>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</si>
  <si>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</si>
  <si>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</si>
  <si>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</si>
  <si>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</si>
  <si>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</si>
  <si>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</si>
  <si>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</si>
  <si>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</si>
  <si>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</si>
  <si>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</si>
  <si>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</si>
  <si>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</si>
  <si>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</si>
  <si>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</si>
  <si>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</si>
  <si>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</si>
  <si>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</si>
  <si>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</si>
  <si>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</si>
  <si>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</si>
  <si>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</si>
  <si>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</si>
  <si>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</si>
  <si>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</si>
  <si>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</si>
  <si>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</si>
  <si>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</si>
  <si>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</si>
  <si>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</si>
  <si>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</si>
  <si>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</si>
  <si>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</si>
  <si>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</si>
  <si>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</si>
  <si>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</si>
  <si>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</si>
  <si>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</si>
  <si>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</si>
  <si>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</si>
  <si>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</si>
  <si>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</si>
  <si>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</si>
  <si>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</si>
  <si>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</si>
  <si>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</si>
  <si>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</si>
  <si>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</si>
  <si>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</si>
  <si>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</si>
  <si>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</si>
  <si>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</si>
  <si>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</si>
  <si>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</si>
  <si>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</si>
  <si>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</si>
  <si>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</si>
  <si>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</si>
  <si>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</si>
  <si>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</si>
  <si>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</si>
  <si>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</si>
  <si>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</si>
  <si>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</si>
  <si>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</si>
  <si>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</si>
  <si>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</si>
  <si>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</si>
  <si>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</si>
  <si>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</si>
  <si>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</si>
  <si>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</si>
  <si>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</si>
  <si>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</si>
  <si>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</si>
  <si>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</si>
  <si>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</si>
  <si>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</si>
  <si>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</si>
  <si>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</si>
  <si>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</si>
  <si>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</si>
  <si>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</si>
  <si>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</si>
  <si>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</si>
  <si>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</si>
  <si>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</si>
  <si>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</si>
  <si>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</si>
  <si>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</si>
  <si>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</si>
  <si>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</si>
  <si>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</si>
  <si>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</si>
  <si>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</si>
  <si>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</si>
  <si>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</si>
  <si>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</si>
  <si>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</si>
  <si>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</si>
  <si>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</si>
  <si>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</si>
  <si>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</si>
  <si>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</si>
  <si>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</si>
  <si>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</si>
  <si>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</si>
  <si>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</si>
  <si>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</si>
  <si>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</si>
  <si>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</si>
  <si>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</si>
  <si>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</si>
  <si>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</si>
  <si>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</si>
  <si>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</si>
  <si>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</si>
  <si>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</si>
  <si>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</si>
  <si>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</si>
  <si>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</si>
  <si>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</si>
  <si>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</si>
  <si>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</si>
  <si>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</si>
  <si>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</si>
  <si>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</si>
  <si>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</si>
  <si>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</si>
  <si>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</si>
  <si>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</si>
  <si>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</si>
  <si>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</si>
  <si>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</si>
  <si>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</si>
  <si>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</si>
  <si>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</si>
  <si>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</si>
  <si>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</si>
  <si>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</si>
  <si>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</si>
  <si>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</si>
  <si>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</si>
  <si>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</si>
  <si>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</si>
  <si>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</si>
  <si>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</si>
  <si>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</si>
  <si>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</si>
  <si>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</si>
  <si>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</si>
  <si>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</si>
  <si>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</si>
  <si>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</si>
  <si>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</si>
  <si>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</si>
  <si>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</si>
  <si>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</si>
  <si>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</si>
  <si>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</si>
  <si>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</si>
  <si>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</si>
  <si>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</si>
  <si>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</si>
  <si>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</si>
  <si>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</si>
  <si>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</si>
  <si>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</si>
  <si>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</si>
  <si>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</si>
  <si>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</si>
  <si>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</si>
  <si>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</si>
  <si>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</si>
  <si>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</si>
  <si>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</si>
  <si>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</si>
  <si>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</si>
  <si>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</si>
  <si>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</si>
  <si>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</si>
  <si>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</si>
  <si>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</si>
  <si>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</si>
  <si>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</si>
  <si>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</si>
  <si>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</si>
  <si>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</si>
  <si>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</si>
  <si>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</si>
  <si>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</si>
  <si>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</si>
  <si>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</si>
  <si>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</si>
  <si>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</si>
  <si>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</si>
  <si>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</si>
  <si>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</si>
  <si>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</si>
  <si>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</si>
  <si>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</si>
  <si>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</si>
  <si>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</si>
  <si>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</si>
  <si>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</si>
  <si>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</si>
  <si>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</si>
  <si>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</si>
  <si>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</si>
  <si>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</si>
  <si>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</si>
  <si>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</si>
  <si>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</si>
  <si>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</si>
  <si>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</si>
  <si>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</si>
  <si>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</si>
  <si>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</si>
  <si>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</si>
  <si>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</si>
  <si>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</si>
  <si>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</si>
  <si>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</si>
  <si>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</si>
  <si>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</si>
  <si>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</si>
  <si>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</si>
  <si>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</si>
  <si>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</si>
  <si>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</si>
  <si>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</si>
  <si>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</si>
  <si>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</si>
  <si>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</si>
  <si>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</si>
  <si>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</si>
  <si>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</si>
  <si>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</si>
  <si>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</si>
  <si>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</si>
  <si>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</si>
  <si>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</si>
  <si>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</si>
  <si>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</si>
  <si>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</si>
  <si>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</si>
  <si>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</si>
  <si>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</si>
  <si>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</si>
  <si>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</si>
  <si>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</si>
  <si>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</si>
  <si>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</si>
  <si>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</si>
  <si>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</si>
  <si>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</si>
  <si>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</si>
  <si>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</si>
  <si>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</si>
  <si>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</si>
  <si>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</si>
  <si>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</si>
  <si>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</si>
  <si>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</si>
  <si>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</si>
  <si>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</si>
  <si>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</si>
  <si>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</si>
  <si>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</si>
  <si>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</si>
  <si>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</si>
  <si>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</si>
  <si>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</si>
  <si>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</si>
  <si>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</si>
  <si>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</si>
  <si>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</si>
  <si>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</si>
  <si>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</si>
  <si>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</si>
  <si>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</si>
  <si>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</si>
  <si>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</si>
  <si>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</si>
  <si>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</si>
  <si>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</si>
  <si>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</si>
  <si>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</si>
  <si>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</si>
  <si>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</si>
  <si>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</si>
  <si>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</si>
  <si>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</si>
  <si>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</si>
  <si>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</si>
  <si>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</si>
  <si>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</si>
  <si>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</si>
  <si>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</si>
  <si>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</si>
  <si>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</si>
  <si>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</si>
  <si>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</si>
  <si>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</si>
  <si>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</si>
  <si>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</si>
  <si>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</si>
  <si>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</si>
  <si>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</si>
  <si>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</si>
  <si>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</si>
  <si>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</si>
  <si>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</si>
  <si>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</si>
  <si>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</si>
  <si>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</si>
  <si>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</si>
  <si>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</si>
  <si>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</si>
  <si>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</si>
  <si>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</si>
  <si>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</si>
  <si>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</si>
  <si>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</si>
  <si>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</si>
  <si>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</si>
  <si>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</si>
  <si>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</si>
  <si>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</si>
  <si>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</si>
  <si>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</si>
  <si>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</si>
  <si>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</si>
  <si>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</si>
  <si>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</si>
  <si>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</si>
  <si>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</si>
  <si>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</si>
  <si>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</si>
  <si>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</si>
  <si>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</si>
  <si>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</si>
  <si>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</si>
  <si>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</si>
  <si>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</si>
  <si>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</si>
  <si>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</si>
  <si>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</si>
  <si>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</si>
  <si>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</si>
  <si>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</si>
  <si>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</si>
  <si>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</si>
  <si>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</si>
  <si>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</si>
  <si>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</si>
  <si>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</si>
  <si>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</si>
  <si>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</si>
  <si>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</si>
  <si>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</si>
  <si>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</si>
  <si>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</si>
  <si>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</si>
  <si>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</si>
  <si>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</si>
  <si>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</si>
  <si>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</si>
  <si>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</si>
  <si>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</si>
  <si>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</si>
  <si>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</si>
  <si>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</si>
  <si>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</si>
  <si>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</si>
  <si>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</si>
  <si>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</si>
  <si>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</si>
  <si>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</si>
  <si>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</si>
  <si>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</si>
  <si>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</si>
  <si>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</si>
  <si>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</si>
  <si>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</si>
  <si>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</si>
  <si>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</si>
  <si>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</si>
  <si>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</si>
  <si>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</si>
  <si>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</si>
  <si>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</si>
  <si>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</si>
  <si>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</si>
  <si>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</si>
  <si>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</si>
  <si>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</si>
  <si>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</si>
  <si>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</si>
  <si>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</si>
  <si>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</si>
  <si>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</si>
  <si>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</si>
  <si>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</si>
  <si>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</si>
  <si>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</si>
  <si>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</si>
  <si>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</si>
  <si>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</si>
  <si>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</si>
  <si>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</si>
  <si>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</si>
  <si>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</si>
  <si>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</si>
  <si>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</si>
  <si>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</si>
  <si>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</si>
  <si>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</si>
  <si>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</si>
  <si>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</si>
  <si>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</si>
  <si>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</si>
  <si>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</si>
  <si>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</si>
  <si>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</si>
  <si>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</si>
  <si>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</si>
  <si>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</si>
  <si>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</si>
  <si>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</si>
  <si>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</si>
  <si>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</si>
  <si>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</si>
  <si>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</si>
  <si>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</si>
  <si>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</si>
  <si>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</si>
  <si>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</si>
  <si>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</si>
  <si>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</si>
  <si>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</si>
  <si>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</si>
  <si>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</si>
  <si>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</si>
  <si>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</si>
  <si>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</si>
  <si>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</si>
  <si>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</si>
  <si>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</si>
  <si>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</si>
  <si>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</si>
  <si>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</si>
  <si>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</si>
  <si>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</si>
  <si>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</si>
  <si>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</si>
  <si>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</si>
  <si>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</si>
  <si>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</si>
  <si>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</si>
  <si>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</si>
  <si>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</si>
  <si>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</si>
  <si>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</si>
  <si>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</si>
  <si>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</si>
  <si>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</si>
  <si>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</si>
  <si>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</si>
  <si>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</si>
  <si>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</si>
  <si>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</si>
  <si>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</si>
  <si>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</si>
  <si>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</si>
  <si>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</si>
  <si>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</si>
  <si>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</si>
  <si>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</si>
  <si>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</si>
  <si>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</si>
  <si>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</si>
  <si>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</si>
  <si>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</si>
  <si>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</si>
  <si>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</si>
  <si>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</si>
  <si>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</si>
  <si>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</si>
  <si>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</si>
  <si>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</si>
  <si>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</si>
  <si>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</si>
  <si>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</si>
  <si>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</si>
  <si>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</si>
  <si>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</si>
  <si>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</si>
  <si>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</si>
  <si>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</si>
  <si>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</si>
  <si>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</si>
  <si>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</si>
  <si>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</si>
  <si>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</si>
  <si>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</si>
  <si>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</si>
  <si>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</si>
  <si>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</si>
  <si>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</si>
  <si>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Fort Frances Power Corporation</t>
  </si>
  <si>
    <t>GS&gt;50kW</t>
  </si>
  <si>
    <t>EB-2009-0264</t>
  </si>
  <si>
    <t>EB-2010-0128</t>
  </si>
  <si>
    <t>EB-2011-0146</t>
  </si>
  <si>
    <t>EB-2012-0083</t>
  </si>
  <si>
    <t>EB-2013-0130</t>
  </si>
  <si>
    <t>EB-2014-0074</t>
  </si>
  <si>
    <t>EB-2015-0070</t>
  </si>
  <si>
    <t>EB-2016-0071</t>
  </si>
  <si>
    <t>EB-2017-0041</t>
  </si>
  <si>
    <t>EB-2018-0033</t>
  </si>
  <si>
    <t>kw</t>
  </si>
  <si>
    <t>Coupon Intiative</t>
  </si>
  <si>
    <t>Appliance Incentives Initiative</t>
  </si>
  <si>
    <t>Commercial&amp;Institutional</t>
  </si>
  <si>
    <t>Low Income</t>
  </si>
  <si>
    <t>Save on Energy Heating &amp; Cooling Program</t>
  </si>
  <si>
    <t>Save on Energy Instant Discount Program</t>
  </si>
  <si>
    <t>Block Heater Timer LDC Innovation Fund Pilot Program</t>
  </si>
  <si>
    <t>Residential Province-Wide</t>
  </si>
  <si>
    <t>Business Province Wide</t>
  </si>
  <si>
    <t>LDC Innovation Fund Pilot</t>
  </si>
  <si>
    <t>Table 8-a:  Town of Fort Frances</t>
  </si>
  <si>
    <t>90 watt HPS fixtures</t>
  </si>
  <si>
    <t>100 watt HPS fixture</t>
  </si>
  <si>
    <t>150 watt HPS Cobrahead fixtures</t>
  </si>
  <si>
    <t>150 watt HPS Waterfront fixture</t>
  </si>
  <si>
    <t>150 watt HPS Business Area</t>
  </si>
  <si>
    <t>150 watt HPS Cul-de-sac  lights</t>
  </si>
  <si>
    <t>250 watt HPS Cobrahead fixtures</t>
  </si>
  <si>
    <t>LED</t>
  </si>
  <si>
    <t>When booking CDM savings annually, FFPC utilized IESO reports and OEB LRAMVA Work Forms to calculate and record annual savings by rate class.</t>
  </si>
  <si>
    <t>GS &gt;50kW</t>
  </si>
  <si>
    <t>*</t>
  </si>
  <si>
    <t>updated persitence values for 2013&amp;2014</t>
  </si>
  <si>
    <t>multiple</t>
  </si>
  <si>
    <t>updated values for for 2015-2017</t>
  </si>
  <si>
    <t>updated to match persistence reports as updated and for program allocation</t>
  </si>
  <si>
    <t>updates due to the updates on tab 4&amp;5</t>
  </si>
  <si>
    <t>H165-169</t>
  </si>
  <si>
    <t>updated for interest rates</t>
  </si>
  <si>
    <t>2013-2018</t>
  </si>
  <si>
    <t>2014 COS Application</t>
  </si>
  <si>
    <t>2021 IRM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</si>
</sst>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0">
    <numFmt numFmtId="6" formatCode="&quot;$&quot;#,##0_);[Red]\(&quot;$&quot;#,##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quot;-&quot;_____;"/>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5F5FF"/>
        <bgColor indexed="64"/>
      </patternFill>
    </fill>
    <fill>
      <patternFill patternType="solid">
        <fgColor rgb="FFEBEBFF"/>
        <bgColor indexed="64"/>
      </patternFill>
    </fill>
    <fill>
      <patternFill patternType="solid">
        <fgColor rgb="FFF5F5F5"/>
        <bgColor indexed="64"/>
      </patternFill>
    </fill>
    <fill>
      <patternFill patternType="solid">
        <fgColor rgb="FFFFC000"/>
        <bgColor indexed="64"/>
      </patternFill>
    </fill>
  </fills>
  <borders count="53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23"/>
      </left>
      <right style="thin">
        <color indexed="23"/>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style="thin">
        <color indexed="64"/>
      </right>
      <top/>
      <bottom/>
      <diagonal/>
    </border>
    <border>
      <left style="thin">
        <color indexed="64"/>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bottom/>
      <diagonal/>
    </border>
    <border>
      <left style="thin">
        <color indexed="64"/>
      </left>
      <right/>
      <top/>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style="thin">
        <color indexed="23"/>
      </left>
      <right style="thin">
        <color indexed="23"/>
      </right>
      <top/>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s>
  <cellStyleXfs count="1149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283" fontId="79" fillId="0" borderId="347">
      <alignment horizontal="right"/>
    </xf>
    <xf numFmtId="283" fontId="79" fillId="0" borderId="385">
      <alignment horizontal="right"/>
    </xf>
    <xf numFmtId="278" fontId="173" fillId="70" borderId="204" applyBorder="0">
      <alignment horizontal="right" vertical="center"/>
      <protection locked="0"/>
    </xf>
    <xf numFmtId="171" fontId="85" fillId="0" borderId="162"/>
    <xf numFmtId="165" fontId="193" fillId="0" borderId="156" applyFill="0" applyAlignment="0" applyProtection="0"/>
    <xf numFmtId="39" fontId="12" fillId="0" borderId="156">
      <protection locked="0"/>
    </xf>
    <xf numFmtId="171" fontId="85" fillId="0" borderId="209"/>
    <xf numFmtId="165" fontId="193" fillId="0" borderId="184" applyFill="0" applyAlignment="0" applyProtection="0"/>
    <xf numFmtId="39" fontId="12" fillId="0" borderId="184">
      <protection locked="0"/>
    </xf>
    <xf numFmtId="171" fontId="85" fillId="0" borderId="240"/>
    <xf numFmtId="165" fontId="193" fillId="0" borderId="235" applyFill="0" applyAlignment="0" applyProtection="0"/>
    <xf numFmtId="39" fontId="12" fillId="0" borderId="235">
      <protection locked="0"/>
    </xf>
    <xf numFmtId="171" fontId="85" fillId="0" borderId="254"/>
    <xf numFmtId="171" fontId="85" fillId="0" borderId="280"/>
    <xf numFmtId="165" fontId="193" fillId="0" borderId="271" applyFill="0" applyAlignment="0" applyProtection="0"/>
    <xf numFmtId="39" fontId="12" fillId="0" borderId="271">
      <protection locked="0"/>
    </xf>
    <xf numFmtId="171" fontId="85" fillId="0" borderId="328"/>
    <xf numFmtId="165" fontId="193" fillId="0" borderId="312" applyFill="0" applyAlignment="0" applyProtection="0"/>
    <xf numFmtId="39" fontId="12" fillId="0" borderId="312">
      <protection locked="0"/>
    </xf>
    <xf numFmtId="165" fontId="193" fillId="0" borderId="321" applyFill="0" applyAlignment="0" applyProtection="0"/>
    <xf numFmtId="39" fontId="12" fillId="0" borderId="321">
      <protection locked="0"/>
    </xf>
    <xf numFmtId="278" fontId="173" fillId="70" borderId="429" applyBorder="0">
      <alignment horizontal="right" vertical="center"/>
      <protection locked="0"/>
    </xf>
    <xf numFmtId="0" fontId="12" fillId="25" borderId="110" applyNumberFormat="0" applyProtection="0">
      <alignment horizontal="left" vertical="center"/>
    </xf>
    <xf numFmtId="0" fontId="12" fillId="25" borderId="110" applyNumberFormat="0" applyProtection="0">
      <alignment horizontal="left" vertical="center"/>
    </xf>
    <xf numFmtId="171" fontId="85" fillId="0" borderId="393"/>
    <xf numFmtId="165" fontId="193" fillId="0" borderId="387" applyFill="0" applyAlignment="0" applyProtection="0"/>
    <xf numFmtId="39" fontId="12" fillId="0" borderId="387">
      <protection locked="0"/>
    </xf>
    <xf numFmtId="171" fontId="85" fillId="0" borderId="417"/>
    <xf numFmtId="165" fontId="193" fillId="0" borderId="412" applyFill="0" applyAlignment="0" applyProtection="0"/>
    <xf numFmtId="39" fontId="12" fillId="0" borderId="412">
      <protection locked="0"/>
    </xf>
    <xf numFmtId="241" fontId="194" fillId="86" borderId="161" applyNumberFormat="0" applyBorder="0" applyAlignment="0" applyProtection="0">
      <alignment vertical="center"/>
    </xf>
    <xf numFmtId="241" fontId="194" fillId="86" borderId="208" applyNumberFormat="0" applyBorder="0" applyAlignment="0" applyProtection="0">
      <alignment vertical="center"/>
    </xf>
    <xf numFmtId="241" fontId="12" fillId="25" borderId="222" applyNumberFormat="0" applyProtection="0">
      <alignment horizontal="centerContinuous" vertical="center"/>
    </xf>
    <xf numFmtId="241" fontId="12" fillId="25" borderId="222" applyNumberFormat="0" applyAlignment="0">
      <alignment vertical="center"/>
    </xf>
    <xf numFmtId="241" fontId="194" fillId="86" borderId="239" applyNumberFormat="0" applyBorder="0" applyAlignment="0" applyProtection="0">
      <alignment vertical="center"/>
    </xf>
    <xf numFmtId="241" fontId="194" fillId="86" borderId="253" applyNumberFormat="0" applyBorder="0" applyAlignment="0" applyProtection="0">
      <alignment vertical="center"/>
    </xf>
    <xf numFmtId="241" fontId="12" fillId="25" borderId="278" applyNumberFormat="0" applyProtection="0">
      <alignment horizontal="centerContinuous" vertical="center"/>
    </xf>
    <xf numFmtId="241" fontId="194" fillId="86" borderId="279" applyNumberFormat="0" applyBorder="0" applyAlignment="0" applyProtection="0">
      <alignment vertical="center"/>
    </xf>
    <xf numFmtId="241" fontId="12" fillId="25" borderId="278" applyNumberFormat="0" applyAlignment="0">
      <alignment vertical="center"/>
    </xf>
    <xf numFmtId="283" fontId="79" fillId="0" borderId="224">
      <alignment horizontal="right"/>
    </xf>
    <xf numFmtId="283" fontId="79" fillId="0" borderId="291">
      <alignment horizontal="right"/>
    </xf>
    <xf numFmtId="283" fontId="79" fillId="0" borderId="372">
      <alignment horizontal="right"/>
    </xf>
    <xf numFmtId="283" fontId="79" fillId="0" borderId="441">
      <alignment horizontal="right"/>
    </xf>
    <xf numFmtId="171" fontId="85" fillId="0" borderId="175"/>
    <xf numFmtId="165" fontId="193" fillId="0" borderId="171" applyFill="0" applyAlignment="0" applyProtection="0"/>
    <xf numFmtId="39" fontId="12" fillId="0" borderId="171">
      <protection locked="0"/>
    </xf>
    <xf numFmtId="171" fontId="85" fillId="0" borderId="189"/>
    <xf numFmtId="165" fontId="193" fillId="0" borderId="218" applyFill="0" applyAlignment="0" applyProtection="0"/>
    <xf numFmtId="39" fontId="12" fillId="0" borderId="218">
      <protection locked="0"/>
    </xf>
    <xf numFmtId="171" fontId="85" fillId="0" borderId="263"/>
    <xf numFmtId="165" fontId="193" fillId="0" borderId="249" applyFill="0" applyAlignment="0" applyProtection="0"/>
    <xf numFmtId="39" fontId="12" fillId="0" borderId="249">
      <protection locked="0"/>
    </xf>
    <xf numFmtId="165" fontId="193" fillId="0" borderId="258" applyFill="0" applyAlignment="0" applyProtection="0"/>
    <xf numFmtId="39" fontId="12" fillId="0" borderId="258">
      <protection locked="0"/>
    </xf>
    <xf numFmtId="171" fontId="85" fillId="0" borderId="303"/>
    <xf numFmtId="171" fontId="85" fillId="0" borderId="358"/>
    <xf numFmtId="165" fontId="193" fillId="0" borderId="341" applyFill="0" applyAlignment="0" applyProtection="0"/>
    <xf numFmtId="39" fontId="12" fillId="0" borderId="341">
      <protection locked="0"/>
    </xf>
    <xf numFmtId="171" fontId="85" fillId="0" borderId="376"/>
    <xf numFmtId="171" fontId="85" fillId="0" borderId="404"/>
    <xf numFmtId="171" fontId="85" fillId="0" borderId="427"/>
    <xf numFmtId="171" fontId="85" fillId="0" borderId="448"/>
    <xf numFmtId="165" fontId="193" fillId="0" borderId="443" applyFill="0" applyAlignment="0" applyProtection="0"/>
    <xf numFmtId="39" fontId="12" fillId="0" borderId="443">
      <protection locked="0"/>
    </xf>
    <xf numFmtId="171" fontId="85" fillId="0" borderId="472"/>
    <xf numFmtId="165" fontId="193" fillId="0" borderId="467" applyFill="0" applyAlignment="0" applyProtection="0"/>
    <xf numFmtId="39" fontId="12" fillId="0" borderId="467">
      <protection locked="0"/>
    </xf>
    <xf numFmtId="171" fontId="85" fillId="0" borderId="495"/>
    <xf numFmtId="165" fontId="193" fillId="0" borderId="489" applyFill="0" applyAlignment="0" applyProtection="0"/>
    <xf numFmtId="39" fontId="12" fillId="0" borderId="489">
      <protection locked="0"/>
    </xf>
    <xf numFmtId="49" fontId="79" fillId="0" borderId="224">
      <alignment vertical="center"/>
    </xf>
    <xf numFmtId="241" fontId="194" fillId="86" borderId="188" applyNumberFormat="0" applyBorder="0" applyAlignment="0" applyProtection="0">
      <alignment vertical="center"/>
    </xf>
    <xf numFmtId="49" fontId="79" fillId="0" borderId="291">
      <alignment vertical="center"/>
    </xf>
    <xf numFmtId="241" fontId="194" fillId="86" borderId="262" applyNumberFormat="0" applyBorder="0" applyAlignment="0" applyProtection="0">
      <alignment vertical="center"/>
    </xf>
    <xf numFmtId="0" fontId="189" fillId="83" borderId="224" applyBorder="0" applyProtection="0">
      <alignment horizontal="centerContinuous" vertical="center"/>
    </xf>
    <xf numFmtId="241" fontId="194" fillId="86" borderId="302" applyNumberFormat="0" applyBorder="0" applyAlignment="0" applyProtection="0">
      <alignment vertical="center"/>
    </xf>
    <xf numFmtId="171" fontId="12" fillId="0" borderId="224" applyBorder="0" applyProtection="0">
      <alignment horizontal="right" vertical="center"/>
    </xf>
    <xf numFmtId="241" fontId="12" fillId="25" borderId="345" applyNumberFormat="0" applyProtection="0">
      <alignment horizontal="centerContinuous" vertical="center"/>
    </xf>
    <xf numFmtId="49" fontId="79" fillId="0" borderId="372">
      <alignment vertical="center"/>
    </xf>
    <xf numFmtId="241" fontId="12" fillId="25" borderId="345" applyNumberFormat="0" applyAlignment="0">
      <alignment vertical="center"/>
    </xf>
    <xf numFmtId="241" fontId="12" fillId="25" borderId="356" applyNumberFormat="0" applyProtection="0">
      <alignment horizontal="centerContinuous" vertical="center"/>
    </xf>
    <xf numFmtId="0" fontId="189" fillId="83" borderId="291" applyBorder="0" applyProtection="0">
      <alignment horizontal="centerContinuous" vertical="center"/>
    </xf>
    <xf numFmtId="241" fontId="194" fillId="86" borderId="357" applyNumberFormat="0" applyBorder="0" applyAlignment="0" applyProtection="0">
      <alignment vertical="center"/>
    </xf>
    <xf numFmtId="171" fontId="12" fillId="0" borderId="291" applyBorder="0" applyProtection="0">
      <alignment horizontal="right" vertical="center"/>
    </xf>
    <xf numFmtId="241" fontId="12" fillId="25" borderId="356" applyNumberFormat="0" applyAlignment="0">
      <alignment vertical="center"/>
    </xf>
    <xf numFmtId="49" fontId="79" fillId="0" borderId="441">
      <alignment vertical="center"/>
    </xf>
    <xf numFmtId="241" fontId="194" fillId="86" borderId="403" applyNumberFormat="0" applyBorder="0" applyAlignment="0" applyProtection="0">
      <alignment vertical="center"/>
    </xf>
    <xf numFmtId="241" fontId="194" fillId="86" borderId="426" applyNumberFormat="0" applyBorder="0" applyAlignment="0" applyProtection="0">
      <alignment vertical="center"/>
    </xf>
    <xf numFmtId="241" fontId="194" fillId="86" borderId="447" applyNumberFormat="0" applyBorder="0" applyAlignment="0" applyProtection="0">
      <alignment vertical="center"/>
    </xf>
    <xf numFmtId="0" fontId="189" fillId="83" borderId="372" applyBorder="0" applyProtection="0">
      <alignment horizontal="centerContinuous" vertical="center"/>
    </xf>
    <xf numFmtId="171" fontId="12" fillId="0" borderId="372" applyBorder="0" applyProtection="0">
      <alignment horizontal="right" vertical="center"/>
    </xf>
    <xf numFmtId="241" fontId="194" fillId="86" borderId="471" applyNumberFormat="0" applyBorder="0" applyAlignment="0" applyProtection="0">
      <alignment vertical="center"/>
    </xf>
    <xf numFmtId="0" fontId="189" fillId="83" borderId="441" applyBorder="0" applyProtection="0">
      <alignment horizontal="centerContinuous" vertical="center"/>
    </xf>
    <xf numFmtId="171" fontId="12" fillId="0" borderId="441" applyBorder="0" applyProtection="0">
      <alignment horizontal="right" vertical="center"/>
    </xf>
    <xf numFmtId="241" fontId="194" fillId="86" borderId="494" applyNumberFormat="0" applyBorder="0" applyAlignment="0" applyProtection="0">
      <alignment vertical="center"/>
    </xf>
    <xf numFmtId="0" fontId="11" fillId="60" borderId="163" applyNumberFormat="0" applyProtection="0">
      <alignment horizontal="left" vertical="center" wrapText="1"/>
    </xf>
    <xf numFmtId="0" fontId="12" fillId="25" borderId="163" applyNumberFormat="0" applyProtection="0">
      <alignment horizontal="left" vertical="center" wrapText="1"/>
    </xf>
    <xf numFmtId="257" fontId="11" fillId="82" borderId="163" applyNumberFormat="0" applyProtection="0">
      <alignment horizontal="center" vertical="center" wrapText="1"/>
    </xf>
    <xf numFmtId="0" fontId="11" fillId="60" borderId="163" applyNumberFormat="0" applyProtection="0">
      <alignment horizontal="left" vertical="center" wrapText="1"/>
    </xf>
    <xf numFmtId="0" fontId="11" fillId="81" borderId="163" applyNumberFormat="0" applyProtection="0">
      <alignment horizontal="center" vertical="center" wrapText="1"/>
    </xf>
    <xf numFmtId="0" fontId="11" fillId="81" borderId="163" applyNumberFormat="0" applyProtection="0">
      <alignment horizontal="center" vertical="center"/>
    </xf>
    <xf numFmtId="0" fontId="11" fillId="81" borderId="163" applyNumberFormat="0" applyProtection="0">
      <alignment horizontal="center" vertical="center" wrapText="1"/>
    </xf>
    <xf numFmtId="0" fontId="183" fillId="81" borderId="163" applyNumberFormat="0" applyProtection="0">
      <alignment horizontal="center" vertical="center"/>
    </xf>
    <xf numFmtId="0" fontId="11" fillId="60" borderId="212" applyNumberFormat="0" applyProtection="0">
      <alignment horizontal="left" vertical="center" wrapText="1"/>
    </xf>
    <xf numFmtId="0" fontId="12" fillId="25" borderId="212" applyNumberFormat="0" applyProtection="0">
      <alignment horizontal="left" vertical="center" wrapText="1"/>
    </xf>
    <xf numFmtId="257" fontId="11" fillId="82" borderId="212" applyNumberFormat="0" applyProtection="0">
      <alignment horizontal="center" vertical="center" wrapText="1"/>
    </xf>
    <xf numFmtId="0" fontId="11" fillId="60" borderId="212" applyNumberFormat="0" applyProtection="0">
      <alignment horizontal="left" vertical="center" wrapText="1"/>
    </xf>
    <xf numFmtId="0" fontId="11" fillId="81" borderId="212" applyNumberFormat="0" applyProtection="0">
      <alignment horizontal="center" vertical="center" wrapText="1"/>
    </xf>
    <xf numFmtId="0" fontId="11" fillId="81" borderId="212" applyNumberFormat="0" applyProtection="0">
      <alignment horizontal="center" vertical="center"/>
    </xf>
    <xf numFmtId="0" fontId="11" fillId="81" borderId="212" applyNumberFormat="0" applyProtection="0">
      <alignment horizontal="center" vertical="center" wrapText="1"/>
    </xf>
    <xf numFmtId="0" fontId="183" fillId="81" borderId="212" applyNumberFormat="0" applyProtection="0">
      <alignment horizontal="center" vertical="center"/>
    </xf>
    <xf numFmtId="0" fontId="11" fillId="60" borderId="241" applyNumberFormat="0" applyProtection="0">
      <alignment horizontal="left" vertical="center" wrapText="1"/>
    </xf>
    <xf numFmtId="0" fontId="12" fillId="25" borderId="241" applyNumberFormat="0" applyProtection="0">
      <alignment horizontal="left" vertical="center" wrapText="1"/>
    </xf>
    <xf numFmtId="257" fontId="11" fillId="82" borderId="241" applyNumberFormat="0" applyProtection="0">
      <alignment horizontal="center" vertical="center" wrapText="1"/>
    </xf>
    <xf numFmtId="0" fontId="11" fillId="60" borderId="255" applyNumberFormat="0" applyProtection="0">
      <alignment horizontal="left" vertical="center" wrapText="1"/>
    </xf>
    <xf numFmtId="0" fontId="11" fillId="60" borderId="241" applyNumberFormat="0" applyProtection="0">
      <alignment horizontal="left" vertical="center" wrapText="1"/>
    </xf>
    <xf numFmtId="0" fontId="11" fillId="81" borderId="241" applyNumberFormat="0" applyProtection="0">
      <alignment horizontal="center" vertical="center" wrapText="1"/>
    </xf>
    <xf numFmtId="0" fontId="11" fillId="81" borderId="241" applyNumberFormat="0" applyProtection="0">
      <alignment horizontal="center" vertical="center"/>
    </xf>
    <xf numFmtId="0" fontId="11" fillId="81" borderId="241" applyNumberFormat="0" applyProtection="0">
      <alignment horizontal="center" vertical="center" wrapText="1"/>
    </xf>
    <xf numFmtId="0" fontId="12" fillId="25" borderId="255" applyNumberFormat="0" applyProtection="0">
      <alignment horizontal="left" vertical="center" wrapText="1"/>
    </xf>
    <xf numFmtId="0" fontId="183" fillId="81" borderId="241" applyNumberFormat="0" applyProtection="0">
      <alignment horizontal="center" vertical="center"/>
    </xf>
    <xf numFmtId="257" fontId="11" fillId="82" borderId="255" applyNumberFormat="0" applyProtection="0">
      <alignment horizontal="center" vertical="center" wrapText="1"/>
    </xf>
    <xf numFmtId="0" fontId="11" fillId="60" borderId="255" applyNumberFormat="0" applyProtection="0">
      <alignment horizontal="left" vertical="center" wrapText="1"/>
    </xf>
    <xf numFmtId="0" fontId="11" fillId="81" borderId="255" applyNumberFormat="0" applyProtection="0">
      <alignment horizontal="center" vertical="center" wrapText="1"/>
    </xf>
    <xf numFmtId="0" fontId="11" fillId="81" borderId="255" applyNumberFormat="0" applyProtection="0">
      <alignment horizontal="center" vertical="center"/>
    </xf>
    <xf numFmtId="0" fontId="11" fillId="81" borderId="255" applyNumberFormat="0" applyProtection="0">
      <alignment horizontal="center" vertical="center" wrapText="1"/>
    </xf>
    <xf numFmtId="0" fontId="11" fillId="60" borderId="286" applyNumberFormat="0" applyProtection="0">
      <alignment horizontal="left" vertical="center" wrapText="1"/>
    </xf>
    <xf numFmtId="0" fontId="183" fillId="81" borderId="255" applyNumberFormat="0" applyProtection="0">
      <alignment horizontal="center" vertical="center"/>
    </xf>
    <xf numFmtId="0" fontId="12" fillId="25" borderId="286" applyNumberFormat="0" applyProtection="0">
      <alignment horizontal="left" vertical="center" wrapText="1"/>
    </xf>
    <xf numFmtId="257" fontId="11" fillId="82" borderId="286" applyNumberFormat="0" applyProtection="0">
      <alignment horizontal="center" vertical="center" wrapText="1"/>
    </xf>
    <xf numFmtId="0" fontId="11" fillId="60" borderId="286" applyNumberFormat="0" applyProtection="0">
      <alignment horizontal="left" vertical="center" wrapText="1"/>
    </xf>
    <xf numFmtId="0" fontId="11" fillId="81" borderId="286" applyNumberFormat="0" applyProtection="0">
      <alignment horizontal="center" vertical="center" wrapText="1"/>
    </xf>
    <xf numFmtId="0" fontId="11" fillId="81" borderId="286" applyNumberFormat="0" applyProtection="0">
      <alignment horizontal="center" vertical="center"/>
    </xf>
    <xf numFmtId="0" fontId="11" fillId="81" borderId="286" applyNumberFormat="0" applyProtection="0">
      <alignment horizontal="center" vertical="center" wrapText="1"/>
    </xf>
    <xf numFmtId="0" fontId="183" fillId="81" borderId="286" applyNumberFormat="0" applyProtection="0">
      <alignment horizontal="center" vertical="center"/>
    </xf>
    <xf numFmtId="0" fontId="11" fillId="60" borderId="329" applyNumberFormat="0" applyProtection="0">
      <alignment horizontal="left" vertical="center" wrapText="1"/>
    </xf>
    <xf numFmtId="0" fontId="12" fillId="25" borderId="329" applyNumberFormat="0" applyProtection="0">
      <alignment horizontal="left" vertical="center" wrapText="1"/>
    </xf>
    <xf numFmtId="257" fontId="11" fillId="82" borderId="329" applyNumberFormat="0" applyProtection="0">
      <alignment horizontal="center" vertical="center" wrapText="1"/>
    </xf>
    <xf numFmtId="0" fontId="11" fillId="60" borderId="329" applyNumberFormat="0" applyProtection="0">
      <alignment horizontal="left" vertical="center" wrapText="1"/>
    </xf>
    <xf numFmtId="0" fontId="11" fillId="81" borderId="329" applyNumberFormat="0" applyProtection="0">
      <alignment horizontal="center" vertical="center" wrapText="1"/>
    </xf>
    <xf numFmtId="0" fontId="11" fillId="81" borderId="329" applyNumberFormat="0" applyProtection="0">
      <alignment horizontal="center" vertical="center"/>
    </xf>
    <xf numFmtId="0" fontId="11" fillId="81" borderId="329" applyNumberFormat="0" applyProtection="0">
      <alignment horizontal="center" vertical="center" wrapText="1"/>
    </xf>
    <xf numFmtId="0" fontId="183" fillId="81" borderId="329" applyNumberFormat="0" applyProtection="0">
      <alignment horizontal="center" vertical="center"/>
    </xf>
    <xf numFmtId="0" fontId="11" fillId="60" borderId="435" applyNumberFormat="0" applyProtection="0">
      <alignment horizontal="left" vertical="center" wrapText="1"/>
    </xf>
    <xf numFmtId="0" fontId="12" fillId="25" borderId="435" applyNumberFormat="0" applyProtection="0">
      <alignment horizontal="left" vertical="center" wrapText="1"/>
    </xf>
    <xf numFmtId="257" fontId="11" fillId="82" borderId="435" applyNumberFormat="0" applyProtection="0">
      <alignment horizontal="center" vertical="center" wrapText="1"/>
    </xf>
    <xf numFmtId="0" fontId="11" fillId="60" borderId="435" applyNumberFormat="0" applyProtection="0">
      <alignment horizontal="left" vertical="center" wrapText="1"/>
    </xf>
    <xf numFmtId="0" fontId="11" fillId="81" borderId="435" applyNumberFormat="0" applyProtection="0">
      <alignment horizontal="center" vertical="center" wrapText="1"/>
    </xf>
    <xf numFmtId="0" fontId="11" fillId="81" borderId="435" applyNumberFormat="0" applyProtection="0">
      <alignment horizontal="center" vertical="center"/>
    </xf>
    <xf numFmtId="0" fontId="11" fillId="81" borderId="435" applyNumberFormat="0" applyProtection="0">
      <alignment horizontal="center" vertical="center" wrapText="1"/>
    </xf>
    <xf numFmtId="0" fontId="183" fillId="81" borderId="435" applyNumberFormat="0" applyProtection="0">
      <alignment horizontal="center" vertical="center"/>
    </xf>
    <xf numFmtId="0" fontId="11" fillId="60" borderId="456" applyNumberFormat="0" applyProtection="0">
      <alignment horizontal="left" vertical="center" wrapText="1"/>
    </xf>
    <xf numFmtId="0" fontId="12" fillId="25" borderId="456" applyNumberFormat="0" applyProtection="0">
      <alignment horizontal="left" vertical="center" wrapText="1"/>
    </xf>
    <xf numFmtId="257" fontId="11" fillId="82" borderId="456" applyNumberFormat="0" applyProtection="0">
      <alignment horizontal="center" vertical="center" wrapText="1"/>
    </xf>
    <xf numFmtId="0" fontId="11" fillId="60" borderId="456" applyNumberFormat="0" applyProtection="0">
      <alignment horizontal="left" vertical="center" wrapText="1"/>
    </xf>
    <xf numFmtId="0" fontId="11" fillId="81" borderId="456" applyNumberFormat="0" applyProtection="0">
      <alignment horizontal="center" vertical="center" wrapText="1"/>
    </xf>
    <xf numFmtId="0" fontId="11" fillId="81" borderId="456" applyNumberFormat="0" applyProtection="0">
      <alignment horizontal="center" vertical="center"/>
    </xf>
    <xf numFmtId="0" fontId="11" fillId="81" borderId="456" applyNumberFormat="0" applyProtection="0">
      <alignment horizontal="center" vertical="center" wrapText="1"/>
    </xf>
    <xf numFmtId="0" fontId="11" fillId="60" borderId="486" applyNumberFormat="0" applyProtection="0">
      <alignment horizontal="left" vertical="center" wrapText="1"/>
    </xf>
    <xf numFmtId="0" fontId="183" fillId="81" borderId="456" applyNumberFormat="0" applyProtection="0">
      <alignment horizontal="center" vertical="center"/>
    </xf>
    <xf numFmtId="0" fontId="12" fillId="25" borderId="486" applyNumberFormat="0" applyProtection="0">
      <alignment horizontal="left" vertical="center" wrapText="1"/>
    </xf>
    <xf numFmtId="257" fontId="11" fillId="82" borderId="486" applyNumberFormat="0" applyProtection="0">
      <alignment horizontal="center" vertical="center" wrapText="1"/>
    </xf>
    <xf numFmtId="0" fontId="11" fillId="60" borderId="486" applyNumberFormat="0" applyProtection="0">
      <alignment horizontal="left" vertical="center" wrapText="1"/>
    </xf>
    <xf numFmtId="0" fontId="11" fillId="81" borderId="486" applyNumberFormat="0" applyProtection="0">
      <alignment horizontal="center" vertical="center" wrapText="1"/>
    </xf>
    <xf numFmtId="0" fontId="11" fillId="81" borderId="486" applyNumberFormat="0" applyProtection="0">
      <alignment horizontal="center" vertical="center"/>
    </xf>
    <xf numFmtId="0" fontId="11" fillId="81" borderId="486" applyNumberFormat="0" applyProtection="0">
      <alignment horizontal="center" vertical="center" wrapText="1"/>
    </xf>
    <xf numFmtId="0" fontId="183" fillId="81" borderId="486" applyNumberFormat="0" applyProtection="0">
      <alignment horizontal="center" vertical="center"/>
    </xf>
    <xf numFmtId="0" fontId="177" fillId="67" borderId="163">
      <alignment horizontal="center" vertical="center" wrapText="1"/>
      <protection hidden="1"/>
    </xf>
    <xf numFmtId="0" fontId="177" fillId="67" borderId="212">
      <alignment horizontal="center" vertical="center" wrapText="1"/>
      <protection hidden="1"/>
    </xf>
    <xf numFmtId="0" fontId="177" fillId="67" borderId="241">
      <alignment horizontal="center" vertical="center" wrapText="1"/>
      <protection hidden="1"/>
    </xf>
    <xf numFmtId="0" fontId="177" fillId="67" borderId="255">
      <alignment horizontal="center" vertical="center" wrapText="1"/>
      <protection hidden="1"/>
    </xf>
    <xf numFmtId="0" fontId="177" fillId="67" borderId="286">
      <alignment horizontal="center" vertical="center" wrapText="1"/>
      <protection hidden="1"/>
    </xf>
    <xf numFmtId="237" fontId="181" fillId="0" borderId="344"/>
    <xf numFmtId="0" fontId="177" fillId="67" borderId="329">
      <alignment horizontal="center" vertical="center" wrapText="1"/>
      <protection hidden="1"/>
    </xf>
    <xf numFmtId="237" fontId="181" fillId="0" borderId="353"/>
    <xf numFmtId="0" fontId="177" fillId="67" borderId="435">
      <alignment horizontal="center" vertical="center" wrapText="1"/>
      <protection hidden="1"/>
    </xf>
    <xf numFmtId="0" fontId="177" fillId="67" borderId="456">
      <alignment horizontal="center" vertical="center" wrapText="1"/>
      <protection hidden="1"/>
    </xf>
    <xf numFmtId="0" fontId="177" fillId="67" borderId="486">
      <alignment horizontal="center" vertical="center" wrapText="1"/>
      <protection hidden="1"/>
    </xf>
    <xf numFmtId="49" fontId="79" fillId="0" borderId="347">
      <alignment vertical="center"/>
    </xf>
    <xf numFmtId="241" fontId="194" fillId="86" borderId="327" applyNumberFormat="0" applyBorder="0" applyAlignment="0" applyProtection="0">
      <alignment vertical="center"/>
    </xf>
    <xf numFmtId="264" fontId="172" fillId="65" borderId="163" applyFill="0" applyBorder="0" applyAlignment="0" applyProtection="0">
      <alignment horizontal="right"/>
      <protection locked="0"/>
    </xf>
    <xf numFmtId="49" fontId="79" fillId="0" borderId="385">
      <alignment vertical="center"/>
    </xf>
    <xf numFmtId="241" fontId="12" fillId="25" borderId="370" applyNumberFormat="0" applyProtection="0">
      <alignment horizontal="centerContinuous" vertical="center"/>
    </xf>
    <xf numFmtId="241" fontId="12" fillId="25" borderId="370" applyNumberFormat="0" applyAlignment="0">
      <alignment vertical="center"/>
    </xf>
    <xf numFmtId="241" fontId="194" fillId="86" borderId="392" applyNumberFormat="0" applyBorder="0" applyAlignment="0" applyProtection="0">
      <alignment vertical="center"/>
    </xf>
    <xf numFmtId="0" fontId="189" fillId="83" borderId="347" applyBorder="0" applyProtection="0">
      <alignment horizontal="centerContinuous" vertical="center"/>
    </xf>
    <xf numFmtId="171" fontId="12" fillId="0" borderId="347" applyBorder="0" applyProtection="0">
      <alignment horizontal="right" vertical="center"/>
    </xf>
    <xf numFmtId="241" fontId="194" fillId="86" borderId="416" applyNumberFormat="0" applyBorder="0" applyAlignment="0" applyProtection="0">
      <alignment vertical="center"/>
    </xf>
    <xf numFmtId="0" fontId="189" fillId="83" borderId="385" applyBorder="0" applyProtection="0">
      <alignment horizontal="centerContinuous" vertical="center"/>
    </xf>
    <xf numFmtId="171" fontId="12" fillId="0" borderId="385" applyBorder="0" applyProtection="0">
      <alignment horizontal="right" vertical="center"/>
    </xf>
    <xf numFmtId="241" fontId="12" fillId="25" borderId="433" applyNumberFormat="0" applyProtection="0">
      <alignment horizontal="centerContinuous" vertical="center"/>
    </xf>
    <xf numFmtId="241" fontId="12" fillId="25" borderId="433" applyNumberFormat="0" applyAlignment="0">
      <alignment vertical="center"/>
    </xf>
    <xf numFmtId="241" fontId="194" fillId="86" borderId="485" applyNumberFormat="0" applyBorder="0" applyAlignment="0" applyProtection="0">
      <alignment vertical="center"/>
    </xf>
    <xf numFmtId="0" fontId="12" fillId="60" borderId="125" applyNumberFormat="0">
      <alignment horizontal="centerContinuous" vertical="center" wrapText="1"/>
    </xf>
    <xf numFmtId="0" fontId="12" fillId="61" borderId="125" applyNumberFormat="0">
      <alignment horizontal="left" vertical="center"/>
    </xf>
    <xf numFmtId="0" fontId="11" fillId="60" borderId="176" applyNumberFormat="0" applyProtection="0">
      <alignment horizontal="left" vertical="center" wrapText="1"/>
    </xf>
    <xf numFmtId="0" fontId="12" fillId="25" borderId="176" applyNumberFormat="0" applyProtection="0">
      <alignment horizontal="left" vertical="center" wrapText="1"/>
    </xf>
    <xf numFmtId="257" fontId="11" fillId="82" borderId="176" applyNumberFormat="0" applyProtection="0">
      <alignment horizontal="center" vertical="center" wrapText="1"/>
    </xf>
    <xf numFmtId="0" fontId="11" fillId="60" borderId="197" applyNumberFormat="0" applyProtection="0">
      <alignment horizontal="left" vertical="center" wrapText="1"/>
    </xf>
    <xf numFmtId="0" fontId="11" fillId="60" borderId="176" applyNumberFormat="0" applyProtection="0">
      <alignment horizontal="left" vertical="center" wrapText="1"/>
    </xf>
    <xf numFmtId="0" fontId="11" fillId="81" borderId="176" applyNumberFormat="0" applyProtection="0">
      <alignment horizontal="center" vertical="center" wrapText="1"/>
    </xf>
    <xf numFmtId="0" fontId="11" fillId="60" borderId="148" applyNumberFormat="0" applyProtection="0">
      <alignment horizontal="left" vertical="center" wrapText="1"/>
    </xf>
    <xf numFmtId="0" fontId="11" fillId="81" borderId="176" applyNumberFormat="0" applyProtection="0">
      <alignment horizontal="center" vertical="center"/>
    </xf>
    <xf numFmtId="0" fontId="12" fillId="25" borderId="148" applyNumberFormat="0" applyProtection="0">
      <alignment horizontal="left" vertical="center" wrapText="1"/>
    </xf>
    <xf numFmtId="257" fontId="11" fillId="82" borderId="148" applyNumberFormat="0" applyProtection="0">
      <alignment horizontal="center" vertical="center" wrapText="1"/>
    </xf>
    <xf numFmtId="0" fontId="11" fillId="81" borderId="176" applyNumberFormat="0" applyProtection="0">
      <alignment horizontal="center" vertical="center" wrapText="1"/>
    </xf>
    <xf numFmtId="0" fontId="12" fillId="25" borderId="197" applyNumberFormat="0" applyProtection="0">
      <alignment horizontal="left" vertical="center" wrapText="1"/>
    </xf>
    <xf numFmtId="0" fontId="183" fillId="81" borderId="176" applyNumberFormat="0" applyProtection="0">
      <alignment horizontal="center" vertical="center"/>
    </xf>
    <xf numFmtId="0" fontId="11" fillId="60" borderId="148" applyNumberFormat="0" applyProtection="0">
      <alignment horizontal="left" vertical="center" wrapText="1"/>
    </xf>
    <xf numFmtId="257" fontId="11" fillId="82" borderId="197" applyNumberFormat="0" applyProtection="0">
      <alignment horizontal="center" vertical="center" wrapText="1"/>
    </xf>
    <xf numFmtId="0" fontId="11" fillId="81" borderId="148" applyNumberFormat="0" applyProtection="0">
      <alignment horizontal="center" vertical="center" wrapText="1"/>
    </xf>
    <xf numFmtId="0" fontId="11" fillId="81" borderId="148" applyNumberFormat="0" applyProtection="0">
      <alignment horizontal="center" vertical="center"/>
    </xf>
    <xf numFmtId="0" fontId="11" fillId="81" borderId="148" applyNumberFormat="0" applyProtection="0">
      <alignment horizontal="center" vertical="center" wrapText="1"/>
    </xf>
    <xf numFmtId="0" fontId="183" fillId="81" borderId="148" applyNumberFormat="0" applyProtection="0">
      <alignment horizontal="center" vertical="center"/>
    </xf>
    <xf numFmtId="0" fontId="11" fillId="60" borderId="197" applyNumberFormat="0" applyProtection="0">
      <alignment horizontal="left" vertical="center" wrapText="1"/>
    </xf>
    <xf numFmtId="0" fontId="11" fillId="81" borderId="197" applyNumberFormat="0" applyProtection="0">
      <alignment horizontal="center" vertical="center" wrapText="1"/>
    </xf>
    <xf numFmtId="0" fontId="11" fillId="81" borderId="197" applyNumberFormat="0" applyProtection="0">
      <alignment horizontal="center" vertical="center"/>
    </xf>
    <xf numFmtId="0" fontId="11" fillId="81" borderId="197" applyNumberFormat="0" applyProtection="0">
      <alignment horizontal="center" vertical="center" wrapText="1"/>
    </xf>
    <xf numFmtId="0" fontId="183" fillId="81" borderId="197" applyNumberFormat="0" applyProtection="0">
      <alignment horizontal="center" vertical="center"/>
    </xf>
    <xf numFmtId="0" fontId="11" fillId="60" borderId="232" applyNumberFormat="0" applyProtection="0">
      <alignment horizontal="left" vertical="center" wrapText="1"/>
    </xf>
    <xf numFmtId="0" fontId="12" fillId="25" borderId="232" applyNumberFormat="0" applyProtection="0">
      <alignment horizontal="left" vertical="center" wrapText="1"/>
    </xf>
    <xf numFmtId="257" fontId="11" fillId="82" borderId="232" applyNumberFormat="0" applyProtection="0">
      <alignment horizontal="center" vertical="center" wrapText="1"/>
    </xf>
    <xf numFmtId="0" fontId="11" fillId="60" borderId="232" applyNumberFormat="0" applyProtection="0">
      <alignment horizontal="left" vertical="center" wrapText="1"/>
    </xf>
    <xf numFmtId="0" fontId="11" fillId="81" borderId="232" applyNumberFormat="0" applyProtection="0">
      <alignment horizontal="center" vertical="center" wrapText="1"/>
    </xf>
    <xf numFmtId="0" fontId="11" fillId="81" borderId="232" applyNumberFormat="0" applyProtection="0">
      <alignment horizontal="center" vertical="center"/>
    </xf>
    <xf numFmtId="0" fontId="11" fillId="81" borderId="232" applyNumberFormat="0" applyProtection="0">
      <alignment horizontal="center" vertical="center" wrapText="1"/>
    </xf>
    <xf numFmtId="0" fontId="183" fillId="81" borderId="232" applyNumberFormat="0" applyProtection="0">
      <alignment horizontal="center" vertical="center"/>
    </xf>
    <xf numFmtId="0" fontId="11" fillId="60" borderId="265" applyNumberFormat="0" applyProtection="0">
      <alignment horizontal="left" vertical="center" wrapText="1"/>
    </xf>
    <xf numFmtId="0" fontId="12" fillId="25" borderId="265" applyNumberFormat="0" applyProtection="0">
      <alignment horizontal="left" vertical="center" wrapText="1"/>
    </xf>
    <xf numFmtId="257" fontId="11" fillId="82" borderId="265" applyNumberFormat="0" applyProtection="0">
      <alignment horizontal="center" vertical="center" wrapText="1"/>
    </xf>
    <xf numFmtId="0" fontId="11" fillId="60" borderId="265" applyNumberFormat="0" applyProtection="0">
      <alignment horizontal="left" vertical="center" wrapText="1"/>
    </xf>
    <xf numFmtId="0" fontId="11" fillId="81" borderId="265" applyNumberFormat="0" applyProtection="0">
      <alignment horizontal="center" vertical="center" wrapText="1"/>
    </xf>
    <xf numFmtId="0" fontId="11" fillId="81" borderId="265" applyNumberFormat="0" applyProtection="0">
      <alignment horizontal="center" vertical="center"/>
    </xf>
    <xf numFmtId="0" fontId="11" fillId="81" borderId="265" applyNumberFormat="0" applyProtection="0">
      <alignment horizontal="center" vertical="center" wrapText="1"/>
    </xf>
    <xf numFmtId="0" fontId="183" fillId="81" borderId="265" applyNumberFormat="0" applyProtection="0">
      <alignment horizontal="center" vertical="center"/>
    </xf>
    <xf numFmtId="0" fontId="11" fillId="60" borderId="304" applyNumberFormat="0" applyProtection="0">
      <alignment horizontal="left" vertical="center" wrapText="1"/>
    </xf>
    <xf numFmtId="0" fontId="12" fillId="25" borderId="304" applyNumberFormat="0" applyProtection="0">
      <alignment horizontal="left" vertical="center" wrapText="1"/>
    </xf>
    <xf numFmtId="257" fontId="11" fillId="82" borderId="304" applyNumberFormat="0" applyProtection="0">
      <alignment horizontal="center" vertical="center" wrapText="1"/>
    </xf>
    <xf numFmtId="0" fontId="11" fillId="60" borderId="313" applyNumberFormat="0" applyProtection="0">
      <alignment horizontal="left" vertical="center" wrapText="1"/>
    </xf>
    <xf numFmtId="0" fontId="11" fillId="60" borderId="304" applyNumberFormat="0" applyProtection="0">
      <alignment horizontal="left" vertical="center" wrapText="1"/>
    </xf>
    <xf numFmtId="0" fontId="11" fillId="81" borderId="304" applyNumberFormat="0" applyProtection="0">
      <alignment horizontal="center" vertical="center" wrapText="1"/>
    </xf>
    <xf numFmtId="0" fontId="11" fillId="81" borderId="304" applyNumberFormat="0" applyProtection="0">
      <alignment horizontal="center" vertical="center"/>
    </xf>
    <xf numFmtId="0" fontId="11" fillId="81" borderId="304" applyNumberFormat="0" applyProtection="0">
      <alignment horizontal="center" vertical="center" wrapText="1"/>
    </xf>
    <xf numFmtId="0" fontId="12" fillId="25" borderId="313" applyNumberFormat="0" applyProtection="0">
      <alignment horizontal="left" vertical="center" wrapText="1"/>
    </xf>
    <xf numFmtId="0" fontId="183" fillId="81" borderId="304" applyNumberFormat="0" applyProtection="0">
      <alignment horizontal="center" vertical="center"/>
    </xf>
    <xf numFmtId="257" fontId="11" fillId="82" borderId="313" applyNumberFormat="0" applyProtection="0">
      <alignment horizontal="center" vertical="center" wrapText="1"/>
    </xf>
    <xf numFmtId="0" fontId="11" fillId="60" borderId="313" applyNumberFormat="0" applyProtection="0">
      <alignment horizontal="left" vertical="center" wrapText="1"/>
    </xf>
    <xf numFmtId="0" fontId="11" fillId="81" borderId="313" applyNumberFormat="0" applyProtection="0">
      <alignment horizontal="center" vertical="center" wrapText="1"/>
    </xf>
    <xf numFmtId="0" fontId="11" fillId="81" borderId="313" applyNumberFormat="0" applyProtection="0">
      <alignment horizontal="center" vertical="center"/>
    </xf>
    <xf numFmtId="0" fontId="11" fillId="81" borderId="313" applyNumberFormat="0" applyProtection="0">
      <alignment horizontal="center" vertical="center" wrapText="1"/>
    </xf>
    <xf numFmtId="0" fontId="183" fillId="81" borderId="313" applyNumberFormat="0" applyProtection="0">
      <alignment horizontal="center" vertical="center"/>
    </xf>
    <xf numFmtId="0" fontId="11" fillId="60" borderId="378" applyNumberFormat="0" applyProtection="0">
      <alignment horizontal="left" vertical="center" wrapText="1"/>
    </xf>
    <xf numFmtId="0" fontId="12" fillId="25" borderId="378" applyNumberFormat="0" applyProtection="0">
      <alignment horizontal="left" vertical="center" wrapText="1"/>
    </xf>
    <xf numFmtId="257" fontId="11" fillId="82" borderId="378" applyNumberFormat="0" applyProtection="0">
      <alignment horizontal="center" vertical="center" wrapText="1"/>
    </xf>
    <xf numFmtId="0" fontId="11" fillId="60" borderId="378" applyNumberFormat="0" applyProtection="0">
      <alignment horizontal="left" vertical="center" wrapText="1"/>
    </xf>
    <xf numFmtId="0" fontId="11" fillId="81" borderId="378" applyNumberFormat="0" applyProtection="0">
      <alignment horizontal="center" vertical="center" wrapText="1"/>
    </xf>
    <xf numFmtId="0" fontId="11" fillId="81" borderId="378" applyNumberFormat="0" applyProtection="0">
      <alignment horizontal="center" vertical="center"/>
    </xf>
    <xf numFmtId="0" fontId="11" fillId="81" borderId="378" applyNumberFormat="0" applyProtection="0">
      <alignment horizontal="center" vertical="center" wrapText="1"/>
    </xf>
    <xf numFmtId="0" fontId="183" fillId="81" borderId="378" applyNumberFormat="0" applyProtection="0">
      <alignment horizontal="center" vertical="center"/>
    </xf>
    <xf numFmtId="0" fontId="11" fillId="60" borderId="405" applyNumberFormat="0" applyProtection="0">
      <alignment horizontal="left" vertical="center" wrapText="1"/>
    </xf>
    <xf numFmtId="0" fontId="12" fillId="25" borderId="405" applyNumberFormat="0" applyProtection="0">
      <alignment horizontal="left" vertical="center" wrapText="1"/>
    </xf>
    <xf numFmtId="257" fontId="11" fillId="82" borderId="405" applyNumberFormat="0" applyProtection="0">
      <alignment horizontal="center" vertical="center" wrapText="1"/>
    </xf>
    <xf numFmtId="0" fontId="11" fillId="60" borderId="405" applyNumberFormat="0" applyProtection="0">
      <alignment horizontal="left" vertical="center" wrapText="1"/>
    </xf>
    <xf numFmtId="0" fontId="11" fillId="81" borderId="405" applyNumberFormat="0" applyProtection="0">
      <alignment horizontal="center" vertical="center" wrapText="1"/>
    </xf>
    <xf numFmtId="0" fontId="11" fillId="81" borderId="405" applyNumberFormat="0" applyProtection="0">
      <alignment horizontal="center" vertical="center"/>
    </xf>
    <xf numFmtId="0" fontId="11" fillId="81" borderId="405" applyNumberFormat="0" applyProtection="0">
      <alignment horizontal="center" vertical="center" wrapText="1"/>
    </xf>
    <xf numFmtId="0" fontId="183" fillId="81" borderId="405" applyNumberFormat="0" applyProtection="0">
      <alignment horizontal="center" vertical="center"/>
    </xf>
    <xf numFmtId="0" fontId="11" fillId="60" borderId="473" applyNumberFormat="0" applyProtection="0">
      <alignment horizontal="left" vertical="center" wrapText="1"/>
    </xf>
    <xf numFmtId="0" fontId="12" fillId="25" borderId="473" applyNumberFormat="0" applyProtection="0">
      <alignment horizontal="left" vertical="center" wrapText="1"/>
    </xf>
    <xf numFmtId="257" fontId="11" fillId="82" borderId="473" applyNumberFormat="0" applyProtection="0">
      <alignment horizontal="center" vertical="center" wrapText="1"/>
    </xf>
    <xf numFmtId="0" fontId="11" fillId="60" borderId="473" applyNumberFormat="0" applyProtection="0">
      <alignment horizontal="left" vertical="center" wrapText="1"/>
    </xf>
    <xf numFmtId="0" fontId="11" fillId="81" borderId="473" applyNumberFormat="0" applyProtection="0">
      <alignment horizontal="center" vertical="center" wrapText="1"/>
    </xf>
    <xf numFmtId="0" fontId="11" fillId="81" borderId="473" applyNumberFormat="0" applyProtection="0">
      <alignment horizontal="center" vertical="center"/>
    </xf>
    <xf numFmtId="0" fontId="11" fillId="81" borderId="473" applyNumberFormat="0" applyProtection="0">
      <alignment horizontal="center" vertical="center" wrapText="1"/>
    </xf>
    <xf numFmtId="0" fontId="183" fillId="81" borderId="473" applyNumberFormat="0" applyProtection="0">
      <alignment horizontal="center" vertical="center"/>
    </xf>
    <xf numFmtId="0" fontId="177" fillId="67" borderId="176">
      <alignment horizontal="center" vertical="center" wrapText="1"/>
      <protection hidden="1"/>
    </xf>
    <xf numFmtId="0" fontId="177" fillId="67" borderId="148">
      <alignment horizontal="center" vertical="center" wrapText="1"/>
      <protection hidden="1"/>
    </xf>
    <xf numFmtId="0" fontId="177" fillId="67" borderId="197">
      <alignment horizontal="center" vertical="center" wrapText="1"/>
      <protection hidden="1"/>
    </xf>
    <xf numFmtId="237" fontId="181" fillId="0" borderId="221"/>
    <xf numFmtId="0" fontId="177" fillId="67" borderId="232">
      <alignment horizontal="center" vertical="center" wrapText="1"/>
      <protection hidden="1"/>
    </xf>
    <xf numFmtId="237" fontId="181" fillId="0" borderId="276"/>
    <xf numFmtId="0" fontId="177" fillId="67" borderId="265">
      <alignment horizontal="center" vertical="center" wrapText="1"/>
      <protection hidden="1"/>
    </xf>
    <xf numFmtId="0" fontId="177" fillId="67" borderId="304">
      <alignment horizontal="center" vertical="center" wrapText="1"/>
      <protection hidden="1"/>
    </xf>
    <xf numFmtId="0" fontId="177" fillId="67" borderId="313">
      <alignment horizontal="center" vertical="center" wrapText="1"/>
      <protection hidden="1"/>
    </xf>
    <xf numFmtId="237" fontId="181" fillId="0" borderId="369"/>
    <xf numFmtId="0" fontId="177" fillId="67" borderId="378">
      <alignment horizontal="center" vertical="center" wrapText="1"/>
      <protection hidden="1"/>
    </xf>
    <xf numFmtId="0" fontId="177" fillId="67" borderId="405">
      <alignment horizontal="center" vertical="center" wrapText="1"/>
      <protection hidden="1"/>
    </xf>
    <xf numFmtId="237" fontId="181" fillId="0" borderId="432"/>
    <xf numFmtId="0" fontId="177" fillId="67" borderId="473">
      <alignment horizontal="center" vertical="center" wrapText="1"/>
      <protection hidden="1"/>
    </xf>
    <xf numFmtId="264" fontId="172" fillId="65" borderId="176" applyFill="0" applyBorder="0" applyAlignment="0" applyProtection="0">
      <alignment horizontal="right"/>
      <protection locked="0"/>
    </xf>
    <xf numFmtId="264" fontId="172" fillId="65" borderId="148" applyFill="0" applyBorder="0" applyAlignment="0" applyProtection="0">
      <alignment horizontal="right"/>
      <protection locked="0"/>
    </xf>
    <xf numFmtId="264" fontId="172" fillId="65" borderId="212" applyFill="0" applyBorder="0" applyAlignment="0" applyProtection="0">
      <alignment horizontal="right"/>
      <protection locked="0"/>
    </xf>
    <xf numFmtId="264" fontId="172" fillId="65" borderId="197" applyFill="0" applyBorder="0" applyAlignment="0" applyProtection="0">
      <alignment horizontal="right"/>
      <protection locked="0"/>
    </xf>
    <xf numFmtId="260" fontId="164" fillId="0" borderId="153" applyBorder="0"/>
    <xf numFmtId="260" fontId="164" fillId="0" borderId="181" applyBorder="0"/>
    <xf numFmtId="264" fontId="172" fillId="65" borderId="241" applyFill="0" applyBorder="0" applyAlignment="0" applyProtection="0">
      <alignment horizontal="right"/>
      <protection locked="0"/>
    </xf>
    <xf numFmtId="260" fontId="164" fillId="0" borderId="202" applyBorder="0"/>
    <xf numFmtId="264" fontId="172" fillId="65" borderId="255" applyFill="0" applyBorder="0" applyAlignment="0" applyProtection="0">
      <alignment horizontal="right"/>
      <protection locked="0"/>
    </xf>
    <xf numFmtId="264" fontId="172" fillId="65" borderId="232" applyFill="0" applyBorder="0" applyAlignment="0" applyProtection="0">
      <alignment horizontal="right"/>
      <protection locked="0"/>
    </xf>
    <xf numFmtId="264" fontId="172" fillId="65" borderId="265" applyFill="0" applyBorder="0" applyAlignment="0" applyProtection="0">
      <alignment horizontal="right"/>
      <protection locked="0"/>
    </xf>
    <xf numFmtId="260" fontId="164" fillId="0" borderId="234" applyBorder="0"/>
    <xf numFmtId="264" fontId="172" fillId="65" borderId="286" applyFill="0" applyBorder="0" applyAlignment="0" applyProtection="0">
      <alignment horizontal="right"/>
      <protection locked="0"/>
    </xf>
    <xf numFmtId="264" fontId="172" fillId="65" borderId="304" applyFill="0" applyBorder="0" applyAlignment="0" applyProtection="0">
      <alignment horizontal="right"/>
      <protection locked="0"/>
    </xf>
    <xf numFmtId="260" fontId="164" fillId="0" borderId="270" applyBorder="0"/>
    <xf numFmtId="264" fontId="172" fillId="65" borderId="329" applyFill="0" applyBorder="0" applyAlignment="0" applyProtection="0">
      <alignment horizontal="right"/>
      <protection locked="0"/>
    </xf>
    <xf numFmtId="264" fontId="172" fillId="65" borderId="313" applyFill="0" applyBorder="0" applyAlignment="0" applyProtection="0">
      <alignment horizontal="right"/>
      <protection locked="0"/>
    </xf>
    <xf numFmtId="260" fontId="164" fillId="0" borderId="309" applyBorder="0"/>
    <xf numFmtId="229" fontId="81" fillId="65" borderId="359" applyFont="0" applyFill="0" applyBorder="0" applyAlignment="0" applyProtection="0"/>
    <xf numFmtId="260" fontId="164" fillId="0" borderId="318" applyBorder="0"/>
    <xf numFmtId="229" fontId="81" fillId="65" borderId="346" applyFont="0" applyFill="0" applyBorder="0" applyAlignment="0" applyProtection="0"/>
    <xf numFmtId="264" fontId="172" fillId="65" borderId="378" applyFill="0" applyBorder="0" applyAlignment="0" applyProtection="0">
      <alignment horizontal="right"/>
      <protection locked="0"/>
    </xf>
    <xf numFmtId="264" fontId="172" fillId="65" borderId="405" applyFill="0" applyBorder="0" applyAlignment="0" applyProtection="0">
      <alignment horizontal="right"/>
      <protection locked="0"/>
    </xf>
    <xf numFmtId="264" fontId="172" fillId="65" borderId="473" applyFill="0" applyBorder="0" applyAlignment="0" applyProtection="0">
      <alignment horizontal="right"/>
      <protection locked="0"/>
    </xf>
    <xf numFmtId="260" fontId="164" fillId="0" borderId="384" applyBorder="0"/>
    <xf numFmtId="229" fontId="81" fillId="65" borderId="434" applyFont="0" applyFill="0" applyBorder="0" applyAlignment="0" applyProtection="0"/>
    <xf numFmtId="264" fontId="172" fillId="65" borderId="435" applyFill="0" applyBorder="0" applyAlignment="0" applyProtection="0">
      <alignment horizontal="right"/>
      <protection locked="0"/>
    </xf>
    <xf numFmtId="260" fontId="164" fillId="0" borderId="410" applyBorder="0"/>
    <xf numFmtId="264" fontId="172" fillId="65" borderId="456" applyFill="0" applyBorder="0" applyAlignment="0" applyProtection="0">
      <alignment horizontal="right"/>
      <protection locked="0"/>
    </xf>
    <xf numFmtId="264" fontId="172" fillId="65" borderId="486" applyFill="0" applyBorder="0" applyAlignment="0" applyProtection="0">
      <alignment horizontal="right"/>
      <protection locked="0"/>
    </xf>
    <xf numFmtId="208" fontId="90" fillId="63" borderId="143"/>
    <xf numFmtId="260" fontId="164" fillId="0" borderId="453" applyBorder="0"/>
    <xf numFmtId="0" fontId="83" fillId="0" borderId="103" applyNumberFormat="0" applyFont="0" applyFill="0" applyAlignment="0" applyProtection="0"/>
    <xf numFmtId="260" fontId="164" fillId="0" borderId="478" applyBorder="0"/>
    <xf numFmtId="0" fontId="17" fillId="21" borderId="125" applyNumberFormat="0" applyAlignment="0" applyProtection="0"/>
    <xf numFmtId="260" fontId="164" fillId="0" borderId="246" applyBorder="0"/>
    <xf numFmtId="0" fontId="12" fillId="24" borderId="127" applyNumberFormat="0" applyFont="0" applyAlignment="0" applyProtection="0"/>
    <xf numFmtId="166" fontId="113" fillId="0" borderId="144">
      <protection locked="0"/>
    </xf>
    <xf numFmtId="260" fontId="164" fillId="0" borderId="257" applyBorder="0"/>
    <xf numFmtId="229" fontId="81" fillId="65" borderId="281" applyFont="0" applyFill="0" applyBorder="0" applyAlignment="0" applyProtection="0"/>
    <xf numFmtId="260" fontId="164" fillId="0" borderId="229" applyBorder="0"/>
    <xf numFmtId="229" fontId="81" fillId="65" borderId="371" applyFont="0" applyFill="0" applyBorder="0" applyAlignment="0" applyProtection="0"/>
    <xf numFmtId="260" fontId="164" fillId="0" borderId="338" applyBorder="0"/>
    <xf numFmtId="260" fontId="164" fillId="0" borderId="217" applyBorder="0"/>
    <xf numFmtId="231" fontId="85" fillId="0" borderId="385" applyFont="0" applyFill="0" applyBorder="0" applyAlignment="0" applyProtection="0"/>
    <xf numFmtId="2" fontId="149" fillId="0" borderId="385"/>
    <xf numFmtId="14" fontId="85" fillId="0" borderId="385" applyFont="0" applyFill="0" applyBorder="0" applyAlignment="0" applyProtection="0"/>
    <xf numFmtId="260" fontId="164" fillId="0" borderId="440" applyBorder="0"/>
    <xf numFmtId="260" fontId="164" fillId="0" borderId="488" applyBorder="0"/>
    <xf numFmtId="260" fontId="164" fillId="0" borderId="464" applyBorder="0"/>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38">
      <alignment horizontal="left" vertical="center"/>
    </xf>
    <xf numFmtId="0" fontId="147" fillId="73" borderId="192">
      <alignment horizontal="left" vertical="center" wrapText="1"/>
    </xf>
    <xf numFmtId="166" fontId="113" fillId="0" borderId="191">
      <protection locked="0"/>
    </xf>
    <xf numFmtId="208" fontId="90" fillId="63" borderId="190"/>
    <xf numFmtId="0" fontId="147" fillId="73" borderId="174">
      <alignment horizontal="left" vertical="center" wrapText="1"/>
    </xf>
    <xf numFmtId="166" fontId="113" fillId="0" borderId="173">
      <protection locked="0"/>
    </xf>
    <xf numFmtId="208" fontId="90" fillId="63" borderId="172"/>
    <xf numFmtId="10" fontId="108" fillId="65" borderId="110" applyNumberFormat="0" applyBorder="0" applyAlignment="0" applyProtection="0"/>
    <xf numFmtId="0" fontId="147" fillId="73" borderId="187">
      <alignment horizontal="left" vertical="center" wrapText="1"/>
    </xf>
    <xf numFmtId="166" fontId="113" fillId="0" borderId="186">
      <protection locked="0"/>
    </xf>
    <xf numFmtId="208" fontId="90" fillId="63" borderId="185"/>
    <xf numFmtId="260" fontId="164" fillId="0" borderId="296" applyBorder="0"/>
    <xf numFmtId="0" fontId="147" fillId="73" borderId="145">
      <alignment horizontal="left" vertical="center" wrapText="1"/>
    </xf>
    <xf numFmtId="0" fontId="147" fillId="73" borderId="261">
      <alignment horizontal="left" vertical="center" wrapText="1"/>
    </xf>
    <xf numFmtId="166" fontId="113" fillId="0" borderId="260">
      <protection locked="0"/>
    </xf>
    <xf numFmtId="208" fontId="90" fillId="63" borderId="259"/>
    <xf numFmtId="0" fontId="12" fillId="0" borderId="110"/>
    <xf numFmtId="0" fontId="147" fillId="73" borderId="301">
      <alignment horizontal="left" vertical="center" wrapText="1"/>
    </xf>
    <xf numFmtId="166" fontId="113" fillId="0" borderId="300">
      <protection locked="0"/>
    </xf>
    <xf numFmtId="208" fontId="90" fillId="63" borderId="299"/>
    <xf numFmtId="0" fontId="147" fillId="73" borderId="277">
      <alignment horizontal="left" vertical="center" wrapText="1"/>
    </xf>
    <xf numFmtId="166" fontId="113" fillId="0" borderId="274">
      <protection locked="0"/>
    </xf>
    <xf numFmtId="208" fontId="90" fillId="63" borderId="272"/>
    <xf numFmtId="0" fontId="147" fillId="73" borderId="362">
      <alignment horizontal="left" vertical="center" wrapText="1"/>
    </xf>
    <xf numFmtId="166" fontId="113" fillId="0" borderId="361">
      <protection locked="0"/>
    </xf>
    <xf numFmtId="208" fontId="90" fillId="63" borderId="360"/>
    <xf numFmtId="0" fontId="147" fillId="73" borderId="375">
      <alignment horizontal="left" vertical="center" wrapText="1"/>
    </xf>
    <xf numFmtId="166" fontId="113" fillId="0" borderId="374">
      <protection locked="0"/>
    </xf>
    <xf numFmtId="208" fontId="90" fillId="63" borderId="373"/>
    <xf numFmtId="0" fontId="147" fillId="73" borderId="402">
      <alignment horizontal="left" vertical="center" wrapText="1"/>
    </xf>
    <xf numFmtId="166" fontId="113" fillId="0" borderId="400">
      <protection locked="0"/>
    </xf>
    <xf numFmtId="208" fontId="90" fillId="63" borderId="399"/>
    <xf numFmtId="0" fontId="147" fillId="73" borderId="425">
      <alignment horizontal="left" vertical="center" wrapText="1"/>
    </xf>
    <xf numFmtId="166" fontId="113" fillId="0" borderId="424">
      <protection locked="0"/>
    </xf>
    <xf numFmtId="208" fontId="90" fillId="63" borderId="423"/>
    <xf numFmtId="0" fontId="147" fillId="73" borderId="446">
      <alignment horizontal="left" vertical="center" wrapText="1"/>
    </xf>
    <xf numFmtId="166" fontId="113" fillId="0" borderId="445">
      <protection locked="0"/>
    </xf>
    <xf numFmtId="208" fontId="90" fillId="63" borderId="444"/>
    <xf numFmtId="0" fontId="147" fillId="73" borderId="493">
      <alignment horizontal="left" vertical="center" wrapText="1"/>
    </xf>
    <xf numFmtId="166" fontId="113" fillId="0" borderId="491">
      <protection locked="0"/>
    </xf>
    <xf numFmtId="0" fontId="147" fillId="73" borderId="470">
      <alignment horizontal="left" vertical="center" wrapText="1"/>
    </xf>
    <xf numFmtId="166" fontId="113" fillId="0" borderId="469">
      <protection locked="0"/>
    </xf>
    <xf numFmtId="208" fontId="90" fillId="63" borderId="468"/>
    <xf numFmtId="208" fontId="90" fillId="63" borderId="490"/>
    <xf numFmtId="0" fontId="12" fillId="0" borderId="148"/>
    <xf numFmtId="0" fontId="12" fillId="0" borderId="176"/>
    <xf numFmtId="0" fontId="12" fillId="0" borderId="197"/>
    <xf numFmtId="0" fontId="147" fillId="73" borderId="160">
      <alignment horizontal="left" vertical="center" wrapText="1"/>
    </xf>
    <xf numFmtId="241" fontId="12" fillId="65" borderId="159" applyNumberFormat="0" applyFont="0" applyBorder="0" applyAlignment="0">
      <alignment horizontal="right" vertical="center"/>
      <protection locked="0"/>
    </xf>
    <xf numFmtId="10" fontId="108" fillId="65" borderId="148" applyNumberFormat="0" applyBorder="0" applyAlignment="0" applyProtection="0"/>
    <xf numFmtId="0" fontId="12" fillId="0" borderId="232"/>
    <xf numFmtId="10" fontId="108" fillId="65" borderId="176" applyNumberFormat="0" applyBorder="0" applyAlignment="0" applyProtection="0"/>
    <xf numFmtId="0" fontId="147" fillId="73" borderId="207">
      <alignment horizontal="left" vertical="center" wrapText="1"/>
    </xf>
    <xf numFmtId="0" fontId="47" fillId="0" borderId="153">
      <alignment horizontal="left" vertical="center"/>
    </xf>
    <xf numFmtId="0" fontId="12" fillId="0" borderId="265"/>
    <xf numFmtId="237" fontId="12" fillId="71" borderId="148" applyNumberFormat="0" applyFont="0" applyBorder="0" applyAlignment="0" applyProtection="0"/>
    <xf numFmtId="10" fontId="108" fillId="65" borderId="197" applyNumberFormat="0" applyBorder="0" applyAlignment="0" applyProtection="0"/>
    <xf numFmtId="1" fontId="121" fillId="69" borderId="154" applyNumberFormat="0" applyBorder="0" applyAlignment="0">
      <alignment horizontal="centerContinuous" vertical="center"/>
      <protection locked="0"/>
    </xf>
    <xf numFmtId="0" fontId="47" fillId="0" borderId="181">
      <alignment horizontal="left" vertical="center"/>
    </xf>
    <xf numFmtId="0" fontId="25" fillId="8" borderId="149" applyNumberFormat="0" applyAlignment="0" applyProtection="0"/>
    <xf numFmtId="0" fontId="12" fillId="0" borderId="304"/>
    <xf numFmtId="237" fontId="12" fillId="71" borderId="176" applyNumberFormat="0" applyFont="0" applyBorder="0" applyAlignment="0" applyProtection="0"/>
    <xf numFmtId="0" fontId="147" fillId="73" borderId="238">
      <alignment horizontal="left" vertical="center" wrapText="1"/>
    </xf>
    <xf numFmtId="1" fontId="121" fillId="69" borderId="182" applyNumberFormat="0" applyBorder="0" applyAlignment="0">
      <alignment horizontal="centerContinuous" vertical="center"/>
      <protection locked="0"/>
    </xf>
    <xf numFmtId="10" fontId="108" fillId="65" borderId="232" applyNumberFormat="0" applyBorder="0" applyAlignment="0" applyProtection="0"/>
    <xf numFmtId="224" fontId="108" fillId="0" borderId="147" applyFont="0" applyFill="0" applyBorder="0" applyAlignment="0" applyProtection="0"/>
    <xf numFmtId="0" fontId="25" fillId="8" borderId="177" applyNumberFormat="0" applyAlignment="0" applyProtection="0"/>
    <xf numFmtId="0" fontId="47" fillId="0" borderId="202">
      <alignment horizontal="left" vertical="center"/>
    </xf>
    <xf numFmtId="0" fontId="12" fillId="0" borderId="313"/>
    <xf numFmtId="237" fontId="12" fillId="71" borderId="197" applyNumberFormat="0" applyFont="0" applyBorder="0" applyAlignment="0" applyProtection="0"/>
    <xf numFmtId="238" fontId="87" fillId="0" borderId="221">
      <alignment horizontal="center"/>
    </xf>
    <xf numFmtId="0" fontId="147" fillId="73" borderId="252">
      <alignment horizontal="left" vertical="center" wrapText="1"/>
    </xf>
    <xf numFmtId="1" fontId="121" fillId="69" borderId="195" applyNumberFormat="0" applyBorder="0" applyAlignment="0">
      <alignment horizontal="centerContinuous" vertical="center"/>
      <protection locked="0"/>
    </xf>
    <xf numFmtId="235" fontId="101" fillId="68" borderId="204">
      <alignment horizontal="left"/>
    </xf>
    <xf numFmtId="0" fontId="147" fillId="73" borderId="277">
      <alignment horizontal="left" vertical="center" wrapText="1"/>
    </xf>
    <xf numFmtId="224" fontId="108" fillId="0" borderId="147" applyFont="0" applyFill="0" applyBorder="0" applyAlignment="0" applyProtection="0"/>
    <xf numFmtId="0" fontId="25" fillId="8" borderId="198" applyNumberFormat="0" applyAlignment="0" applyProtection="0"/>
    <xf numFmtId="10" fontId="108" fillId="65" borderId="265" applyNumberFormat="0" applyBorder="0" applyAlignment="0" applyProtection="0"/>
    <xf numFmtId="0" fontId="47" fillId="0" borderId="234">
      <alignment horizontal="left" vertical="center"/>
    </xf>
    <xf numFmtId="237" fontId="12" fillId="71" borderId="232" applyNumberFormat="0" applyFont="0" applyBorder="0" applyAlignment="0" applyProtection="0"/>
    <xf numFmtId="224" fontId="108" fillId="0" borderId="147" applyFont="0" applyFill="0" applyBorder="0" applyAlignment="0" applyProtection="0"/>
    <xf numFmtId="0" fontId="12" fillId="0" borderId="378"/>
    <xf numFmtId="1" fontId="121" fillId="69" borderId="233" applyNumberFormat="0" applyBorder="0" applyAlignment="0">
      <alignment horizontal="centerContinuous" vertical="center"/>
      <protection locked="0"/>
    </xf>
    <xf numFmtId="10" fontId="108" fillId="65" borderId="304" applyNumberFormat="0" applyBorder="0" applyAlignment="0" applyProtection="0"/>
    <xf numFmtId="238" fontId="87" fillId="0" borderId="276">
      <alignment horizontal="center"/>
    </xf>
    <xf numFmtId="0" fontId="147" fillId="73" borderId="326">
      <alignment horizontal="left" vertical="center" wrapText="1"/>
    </xf>
    <xf numFmtId="227" fontId="78" fillId="0" borderId="220" applyNumberFormat="0" applyFill="0">
      <alignment horizontal="right"/>
    </xf>
    <xf numFmtId="227" fontId="78" fillId="0" borderId="220" applyNumberFormat="0" applyFill="0">
      <alignment horizontal="right"/>
    </xf>
    <xf numFmtId="224" fontId="108" fillId="0" borderId="147" applyFont="0" applyFill="0" applyBorder="0" applyAlignment="0" applyProtection="0"/>
    <xf numFmtId="241" fontId="12" fillId="65" borderId="325" applyNumberFormat="0" applyFont="0" applyBorder="0" applyAlignment="0">
      <alignment horizontal="right" vertical="center"/>
      <protection locked="0"/>
    </xf>
    <xf numFmtId="0" fontId="47" fillId="0" borderId="270">
      <alignment horizontal="left" vertical="center"/>
    </xf>
    <xf numFmtId="14" fontId="85" fillId="0" borderId="347" applyFont="0" applyFill="0" applyBorder="0" applyAlignment="0" applyProtection="0"/>
    <xf numFmtId="237" fontId="12" fillId="71" borderId="265" applyNumberFormat="0" applyFont="0" applyBorder="0" applyAlignment="0" applyProtection="0"/>
    <xf numFmtId="10" fontId="108" fillId="65" borderId="313" applyNumberFormat="0" applyBorder="0" applyAlignment="0" applyProtection="0"/>
    <xf numFmtId="0" fontId="12" fillId="0" borderId="405"/>
    <xf numFmtId="224" fontId="108" fillId="0" borderId="147" applyFont="0" applyFill="0" applyBorder="0" applyAlignment="0" applyProtection="0"/>
    <xf numFmtId="2" fontId="149" fillId="0" borderId="347"/>
    <xf numFmtId="1" fontId="121" fillId="69" borderId="266" applyNumberFormat="0" applyBorder="0" applyAlignment="0">
      <alignment horizontal="centerContinuous" vertical="center"/>
      <protection locked="0"/>
    </xf>
    <xf numFmtId="0" fontId="25" fillId="8" borderId="267" applyNumberFormat="0" applyAlignment="0" applyProtection="0"/>
    <xf numFmtId="0" fontId="47" fillId="0" borderId="309">
      <alignment horizontal="left" vertical="center"/>
    </xf>
    <xf numFmtId="237" fontId="12" fillId="71" borderId="304" applyNumberFormat="0" applyFont="0" applyBorder="0" applyAlignment="0" applyProtection="0"/>
    <xf numFmtId="14" fontId="85" fillId="0" borderId="385" applyFont="0" applyFill="0" applyBorder="0" applyAlignment="0" applyProtection="0"/>
    <xf numFmtId="224" fontId="108" fillId="0" borderId="147" applyFont="0" applyFill="0" applyBorder="0" applyAlignment="0" applyProtection="0"/>
    <xf numFmtId="2" fontId="149" fillId="0" borderId="385"/>
    <xf numFmtId="1" fontId="121" fillId="69" borderId="310" applyNumberFormat="0" applyBorder="0" applyAlignment="0">
      <alignment horizontal="centerContinuous" vertical="center"/>
      <protection locked="0"/>
    </xf>
    <xf numFmtId="0" fontId="147" fillId="73" borderId="391">
      <alignment horizontal="left" vertical="center" wrapText="1"/>
    </xf>
    <xf numFmtId="227" fontId="78" fillId="0" borderId="275" applyNumberFormat="0" applyFill="0">
      <alignment horizontal="right"/>
    </xf>
    <xf numFmtId="227" fontId="78" fillId="0" borderId="275" applyNumberFormat="0" applyFill="0">
      <alignment horizontal="right"/>
    </xf>
    <xf numFmtId="224" fontId="108" fillId="0" borderId="147" applyFont="0" applyFill="0" applyBorder="0" applyAlignment="0" applyProtection="0"/>
    <xf numFmtId="0" fontId="47" fillId="0" borderId="318">
      <alignment horizontal="left" vertical="center"/>
    </xf>
    <xf numFmtId="0" fontId="25" fillId="8" borderId="305" applyNumberFormat="0" applyAlignment="0" applyProtection="0"/>
    <xf numFmtId="237" fontId="12" fillId="71" borderId="313" applyNumberFormat="0" applyFont="0" applyBorder="0" applyAlignment="0" applyProtection="0"/>
    <xf numFmtId="10" fontId="108" fillId="65" borderId="378" applyNumberFormat="0" applyBorder="0" applyAlignment="0" applyProtection="0"/>
    <xf numFmtId="0" fontId="12" fillId="0" borderId="473"/>
    <xf numFmtId="1" fontId="121" fillId="69" borderId="319" applyNumberFormat="0" applyBorder="0" applyAlignment="0">
      <alignment horizontal="centerContinuous" vertical="center"/>
      <protection locked="0"/>
    </xf>
    <xf numFmtId="238" fontId="87" fillId="0" borderId="369">
      <alignment horizontal="center"/>
    </xf>
    <xf numFmtId="224" fontId="108" fillId="0" borderId="147" applyFont="0" applyFill="0" applyBorder="0" applyAlignment="0" applyProtection="0"/>
    <xf numFmtId="0" fontId="25" fillId="8" borderId="314" applyNumberFormat="0" applyAlignment="0" applyProtection="0"/>
    <xf numFmtId="0" fontId="147" fillId="73" borderId="415">
      <alignment horizontal="left" vertical="center" wrapText="1"/>
    </xf>
    <xf numFmtId="10" fontId="108" fillId="65" borderId="405" applyNumberFormat="0" applyBorder="0" applyAlignment="0" applyProtection="0"/>
    <xf numFmtId="224" fontId="108" fillId="0" borderId="324" applyFont="0" applyFill="0" applyBorder="0" applyAlignment="0" applyProtection="0"/>
    <xf numFmtId="0" fontId="47" fillId="0" borderId="384">
      <alignment horizontal="left" vertical="center"/>
    </xf>
    <xf numFmtId="237" fontId="12" fillId="71" borderId="378" applyNumberFormat="0" applyFont="0" applyBorder="0" applyAlignment="0" applyProtection="0"/>
    <xf numFmtId="1" fontId="121" fillId="69" borderId="365" applyNumberFormat="0" applyBorder="0" applyAlignment="0">
      <alignment horizontal="centerContinuous" vertical="center"/>
      <protection locked="0"/>
    </xf>
    <xf numFmtId="0" fontId="25" fillId="8" borderId="330" applyNumberFormat="0" applyAlignment="0" applyProtection="0"/>
    <xf numFmtId="231" fontId="85" fillId="0" borderId="347" applyFont="0" applyFill="0" applyBorder="0" applyAlignment="0" applyProtection="0"/>
    <xf numFmtId="1" fontId="121" fillId="69" borderId="379" applyNumberFormat="0" applyBorder="0" applyAlignment="0">
      <alignment horizontal="centerContinuous" vertical="center"/>
      <protection locked="0"/>
    </xf>
    <xf numFmtId="224" fontId="108" fillId="0" borderId="324" applyFont="0" applyFill="0" applyBorder="0" applyAlignment="0" applyProtection="0"/>
    <xf numFmtId="0" fontId="147" fillId="73" borderId="484">
      <alignment horizontal="left" vertical="center" wrapText="1"/>
    </xf>
    <xf numFmtId="0" fontId="25" fillId="8" borderId="386" applyNumberFormat="0" applyAlignment="0" applyProtection="0"/>
    <xf numFmtId="227" fontId="78" fillId="0" borderId="368" applyNumberFormat="0" applyFill="0">
      <alignment horizontal="right"/>
    </xf>
    <xf numFmtId="227" fontId="78" fillId="0" borderId="368" applyNumberFormat="0" applyFill="0">
      <alignment horizontal="right"/>
    </xf>
    <xf numFmtId="0" fontId="47" fillId="0" borderId="410">
      <alignment horizontal="left" vertical="center"/>
    </xf>
    <xf numFmtId="224" fontId="108" fillId="0" borderId="351" applyFont="0" applyFill="0" applyBorder="0" applyAlignment="0" applyProtection="0"/>
    <xf numFmtId="10" fontId="108" fillId="65" borderId="473" applyNumberFormat="0" applyBorder="0" applyAlignment="0" applyProtection="0"/>
    <xf numFmtId="237" fontId="12" fillId="71" borderId="405" applyNumberFormat="0" applyFont="0" applyBorder="0" applyAlignment="0" applyProtection="0"/>
    <xf numFmtId="238" fontId="87" fillId="0" borderId="432">
      <alignment horizontal="center"/>
    </xf>
    <xf numFmtId="231" fontId="85" fillId="0" borderId="385" applyFont="0" applyFill="0" applyBorder="0" applyAlignment="0" applyProtection="0"/>
    <xf numFmtId="224" fontId="108" fillId="0" borderId="390" applyFont="0" applyFill="0" applyBorder="0" applyAlignment="0" applyProtection="0"/>
    <xf numFmtId="1" fontId="121" fillId="69" borderId="406" applyNumberFormat="0" applyBorder="0" applyAlignment="0">
      <alignment horizontal="centerContinuous" vertical="center"/>
      <protection locked="0"/>
    </xf>
    <xf numFmtId="0" fontId="25" fillId="8" borderId="407" applyNumberFormat="0" applyAlignment="0" applyProtection="0"/>
    <xf numFmtId="0" fontId="47" fillId="0" borderId="453">
      <alignment horizontal="left" vertical="center"/>
    </xf>
    <xf numFmtId="235" fontId="101" fillId="68" borderId="429">
      <alignment horizontal="left"/>
    </xf>
    <xf numFmtId="0" fontId="47" fillId="0" borderId="478">
      <alignment horizontal="left" vertical="center"/>
    </xf>
    <xf numFmtId="224" fontId="108" fillId="0" borderId="390" applyFont="0" applyFill="0" applyBorder="0" applyAlignment="0" applyProtection="0"/>
    <xf numFmtId="237" fontId="12" fillId="71" borderId="473" applyNumberFormat="0" applyFont="0" applyBorder="0" applyAlignment="0" applyProtection="0"/>
    <xf numFmtId="241" fontId="194" fillId="86" borderId="193" applyNumberFormat="0" applyBorder="0" applyAlignment="0" applyProtection="0">
      <alignment vertical="center"/>
    </xf>
    <xf numFmtId="171" fontId="85" fillId="0" borderId="194"/>
    <xf numFmtId="1" fontId="121" fillId="69" borderId="454" applyNumberFormat="0" applyBorder="0" applyAlignment="0">
      <alignment horizontal="centerContinuous" vertical="center"/>
      <protection locked="0"/>
    </xf>
    <xf numFmtId="171" fontId="85" fillId="0" borderId="175"/>
    <xf numFmtId="0" fontId="25" fillId="8" borderId="449" applyNumberFormat="0" applyAlignment="0" applyProtection="0"/>
    <xf numFmtId="1" fontId="121" fillId="69" borderId="479" applyNumberFormat="0" applyBorder="0" applyAlignment="0">
      <alignment horizontal="centerContinuous" vertical="center"/>
      <protection locked="0"/>
    </xf>
    <xf numFmtId="227" fontId="78" fillId="0" borderId="431" applyNumberFormat="0" applyFill="0">
      <alignment horizontal="right"/>
    </xf>
    <xf numFmtId="227" fontId="78" fillId="0" borderId="431" applyNumberFormat="0" applyFill="0">
      <alignment horizontal="right"/>
    </xf>
    <xf numFmtId="224" fontId="108" fillId="0" borderId="390" applyFont="0" applyFill="0" applyBorder="0" applyAlignment="0" applyProtection="0"/>
    <xf numFmtId="0" fontId="25" fillId="8" borderId="474" applyNumberFormat="0" applyAlignment="0" applyProtection="0"/>
    <xf numFmtId="224" fontId="108" fillId="0" borderId="390" applyFont="0" applyFill="0" applyBorder="0" applyAlignment="0" applyProtection="0"/>
    <xf numFmtId="241" fontId="194" fillId="86" borderId="188" applyNumberFormat="0" applyBorder="0" applyAlignment="0" applyProtection="0">
      <alignment vertical="center"/>
    </xf>
    <xf numFmtId="224" fontId="108" fillId="0" borderId="483" applyFont="0" applyFill="0" applyBorder="0" applyAlignment="0" applyProtection="0"/>
    <xf numFmtId="166" fontId="113" fillId="0" borderId="158">
      <protection locked="0"/>
    </xf>
    <xf numFmtId="0" fontId="12" fillId="24" borderId="150" applyNumberFormat="0" applyFont="0" applyAlignment="0" applyProtection="0"/>
    <xf numFmtId="241" fontId="194" fillId="86" borderId="262" applyNumberFormat="0" applyBorder="0" applyAlignment="0" applyProtection="0">
      <alignment vertical="center"/>
    </xf>
    <xf numFmtId="171" fontId="85" fillId="0" borderId="263"/>
    <xf numFmtId="0" fontId="12" fillId="24" borderId="178" applyNumberFormat="0" applyFont="0" applyAlignment="0" applyProtection="0"/>
    <xf numFmtId="166" fontId="113" fillId="0" borderId="206">
      <protection locked="0"/>
    </xf>
    <xf numFmtId="0" fontId="12" fillId="24" borderId="199" applyNumberFormat="0" applyFont="0" applyAlignment="0" applyProtection="0"/>
    <xf numFmtId="241" fontId="194" fillId="86" borderId="302" applyNumberFormat="0" applyBorder="0" applyAlignment="0" applyProtection="0">
      <alignment vertical="center"/>
    </xf>
    <xf numFmtId="171" fontId="85" fillId="0" borderId="303"/>
    <xf numFmtId="241" fontId="194" fillId="86" borderId="279" applyNumberFormat="0" applyBorder="0" applyAlignment="0" applyProtection="0">
      <alignment vertical="center"/>
    </xf>
    <xf numFmtId="166" fontId="113" fillId="0" borderId="237">
      <protection locked="0"/>
    </xf>
    <xf numFmtId="241" fontId="194" fillId="86" borderId="363" applyNumberFormat="0" applyBorder="0" applyAlignment="0" applyProtection="0">
      <alignment vertical="center"/>
    </xf>
    <xf numFmtId="171" fontId="85" fillId="0" borderId="364"/>
    <xf numFmtId="166" fontId="113" fillId="0" borderId="251">
      <protection locked="0"/>
    </xf>
    <xf numFmtId="171" fontId="85" fillId="0" borderId="376"/>
    <xf numFmtId="166" fontId="113" fillId="0" borderId="274">
      <protection locked="0"/>
    </xf>
    <xf numFmtId="0" fontId="17" fillId="21" borderId="149" applyNumberFormat="0" applyAlignment="0" applyProtection="0"/>
    <xf numFmtId="0" fontId="12" fillId="24" borderId="306" applyNumberFormat="0" applyFont="0" applyAlignment="0" applyProtection="0"/>
    <xf numFmtId="0" fontId="83" fillId="0" borderId="155" applyNumberFormat="0" applyFont="0" applyFill="0" applyAlignment="0" applyProtection="0"/>
    <xf numFmtId="208" fontId="90" fillId="63" borderId="157"/>
    <xf numFmtId="241" fontId="194" fillId="86" borderId="403" applyNumberFormat="0" applyBorder="0" applyAlignment="0" applyProtection="0">
      <alignment vertical="center"/>
    </xf>
    <xf numFmtId="166" fontId="113" fillId="0" borderId="323">
      <protection locked="0"/>
    </xf>
    <xf numFmtId="171" fontId="85" fillId="0" borderId="404"/>
    <xf numFmtId="0" fontId="17" fillId="21" borderId="177" applyNumberFormat="0" applyAlignment="0" applyProtection="0"/>
    <xf numFmtId="167" fontId="87" fillId="0" borderId="156" applyFont="0"/>
    <xf numFmtId="0" fontId="12" fillId="24" borderId="315" applyNumberFormat="0" applyFont="0" applyAlignment="0" applyProtection="0"/>
    <xf numFmtId="0" fontId="83" fillId="0" borderId="183" applyNumberFormat="0" applyFont="0" applyFill="0" applyAlignment="0" applyProtection="0"/>
    <xf numFmtId="241" fontId="194" fillId="86" borderId="426" applyNumberFormat="0" applyBorder="0" applyAlignment="0" applyProtection="0">
      <alignment vertical="center"/>
    </xf>
    <xf numFmtId="171" fontId="85" fillId="0" borderId="427"/>
    <xf numFmtId="0" fontId="17" fillId="21" borderId="198" applyNumberFormat="0" applyAlignment="0" applyProtection="0"/>
    <xf numFmtId="167" fontId="87" fillId="0" borderId="184" applyFont="0"/>
    <xf numFmtId="241" fontId="194" fillId="86" borderId="447" applyNumberFormat="0" applyBorder="0" applyAlignment="0" applyProtection="0">
      <alignment vertical="center"/>
    </xf>
    <xf numFmtId="171" fontId="85" fillId="0" borderId="448"/>
    <xf numFmtId="0" fontId="83" fillId="0" borderId="196" applyNumberFormat="0" applyFont="0" applyFill="0" applyAlignment="0" applyProtection="0"/>
    <xf numFmtId="0" fontId="83" fillId="0" borderId="204" applyNumberFormat="0" applyFont="0" applyFill="0" applyAlignment="0" applyProtection="0"/>
    <xf numFmtId="1" fontId="94" fillId="64" borderId="204" applyNumberFormat="0" applyBorder="0" applyAlignment="0">
      <alignment horizontal="center" vertical="top" wrapText="1"/>
      <protection hidden="1"/>
    </xf>
    <xf numFmtId="0" fontId="12" fillId="24" borderId="331" applyNumberFormat="0" applyFont="0" applyAlignment="0" applyProtection="0"/>
    <xf numFmtId="208" fontId="90" fillId="63" borderId="205"/>
    <xf numFmtId="165" fontId="88" fillId="0" borderId="203" applyNumberFormat="0" applyFont="0" applyBorder="0" applyProtection="0">
      <alignment horizontal="right"/>
    </xf>
    <xf numFmtId="207" fontId="12" fillId="0" borderId="203">
      <alignment horizontal="right"/>
      <protection locked="0"/>
    </xf>
    <xf numFmtId="205" fontId="88" fillId="0" borderId="203" applyFill="0">
      <alignment horizontal="right"/>
    </xf>
    <xf numFmtId="3" fontId="12" fillId="0" borderId="203" applyFill="0">
      <alignment horizontal="right"/>
    </xf>
    <xf numFmtId="204" fontId="88" fillId="0" borderId="203" applyFill="0">
      <alignment horizontal="right"/>
    </xf>
    <xf numFmtId="204" fontId="88" fillId="0" borderId="203">
      <alignment horizontal="right"/>
    </xf>
    <xf numFmtId="166" fontId="113" fillId="0" borderId="389">
      <protection locked="0"/>
    </xf>
    <xf numFmtId="0" fontId="12" fillId="24" borderId="381" applyNumberFormat="0" applyFont="0" applyAlignment="0" applyProtection="0"/>
    <xf numFmtId="241" fontId="194" fillId="86" borderId="471" applyNumberFormat="0" applyBorder="0" applyAlignment="0" applyProtection="0">
      <alignment vertical="center"/>
    </xf>
    <xf numFmtId="171" fontId="85" fillId="0" borderId="472"/>
    <xf numFmtId="0" fontId="99" fillId="0" borderId="219" applyNumberFormat="0" applyFont="0" applyFill="0" applyAlignment="0" applyProtection="0">
      <alignment horizontal="centerContinuous"/>
    </xf>
    <xf numFmtId="241" fontId="194" fillId="86" borderId="494" applyNumberFormat="0" applyBorder="0" applyAlignment="0" applyProtection="0">
      <alignment vertical="center"/>
    </xf>
    <xf numFmtId="171" fontId="85" fillId="0" borderId="495"/>
    <xf numFmtId="203" fontId="12" fillId="0" borderId="203">
      <alignment horizontal="right"/>
    </xf>
    <xf numFmtId="166" fontId="113" fillId="0" borderId="414">
      <protection locked="0"/>
    </xf>
    <xf numFmtId="208" fontId="90" fillId="63" borderId="236"/>
    <xf numFmtId="167" fontId="87" fillId="0" borderId="235" applyFont="0"/>
    <xf numFmtId="0" fontId="17" fillId="21" borderId="267" applyNumberFormat="0" applyAlignment="0" applyProtection="0"/>
    <xf numFmtId="208" fontId="90" fillId="63" borderId="250"/>
    <xf numFmtId="0" fontId="83" fillId="0" borderId="264" applyNumberFormat="0" applyFont="0" applyFill="0" applyAlignment="0" applyProtection="0"/>
    <xf numFmtId="0" fontId="99" fillId="0" borderId="273" applyNumberFormat="0" applyFont="0" applyFill="0" applyAlignment="0" applyProtection="0">
      <alignment horizontal="centerContinuous"/>
    </xf>
    <xf numFmtId="208" fontId="90" fillId="63" borderId="272"/>
    <xf numFmtId="0" fontId="12" fillId="24" borderId="450" applyNumberFormat="0" applyFont="0" applyAlignment="0" applyProtection="0"/>
    <xf numFmtId="167" fontId="87" fillId="0" borderId="271" applyFont="0"/>
    <xf numFmtId="260" fontId="164" fillId="0" borderId="138" applyBorder="0"/>
    <xf numFmtId="0" fontId="17" fillId="21" borderId="305" applyNumberFormat="0" applyAlignment="0" applyProtection="0"/>
    <xf numFmtId="260" fontId="164" fillId="0" borderId="168" applyBorder="0"/>
    <xf numFmtId="0" fontId="83" fillId="0" borderId="311" applyNumberFormat="0" applyFont="0" applyFill="0" applyAlignment="0" applyProtection="0"/>
    <xf numFmtId="166" fontId="113" fillId="0" borderId="482">
      <protection locked="0"/>
    </xf>
    <xf numFmtId="264" fontId="172" fillId="65" borderId="110" applyFill="0" applyBorder="0" applyAlignment="0" applyProtection="0">
      <alignment horizontal="right"/>
      <protection locked="0"/>
    </xf>
    <xf numFmtId="0" fontId="12" fillId="24" borderId="475" applyNumberFormat="0" applyFont="0" applyAlignment="0" applyProtection="0"/>
    <xf numFmtId="0" fontId="17" fillId="21" borderId="314" applyNumberFormat="0" applyAlignment="0" applyProtection="0"/>
    <xf numFmtId="167" fontId="87" fillId="0" borderId="312" applyFont="0"/>
    <xf numFmtId="0" fontId="83" fillId="0" borderId="320" applyNumberFormat="0" applyFont="0" applyFill="0" applyAlignment="0" applyProtection="0"/>
    <xf numFmtId="208" fontId="90" fillId="63" borderId="322"/>
    <xf numFmtId="167" fontId="87" fillId="0" borderId="321" applyFont="0"/>
    <xf numFmtId="0" fontId="83" fillId="0" borderId="347" applyNumberFormat="0" applyFont="0" applyFill="0" applyAlignment="0" applyProtection="0"/>
    <xf numFmtId="0" fontId="97" fillId="0" borderId="347" applyNumberFormat="0" applyFill="0" applyAlignment="0" applyProtection="0"/>
    <xf numFmtId="0" fontId="17" fillId="21" borderId="330" applyNumberFormat="0" applyAlignment="0" applyProtection="0"/>
    <xf numFmtId="0" fontId="83" fillId="0" borderId="366" applyNumberFormat="0" applyFont="0" applyFill="0" applyAlignment="0" applyProtection="0"/>
    <xf numFmtId="0" fontId="99" fillId="0" borderId="367" applyNumberFormat="0" applyFont="0" applyFill="0" applyAlignment="0" applyProtection="0">
      <alignment horizontal="centerContinuous"/>
    </xf>
    <xf numFmtId="0" fontId="17" fillId="21" borderId="386" applyNumberFormat="0" applyAlignment="0" applyProtection="0"/>
    <xf numFmtId="0" fontId="83" fillId="0" borderId="377" applyNumberFormat="0" applyFont="0" applyFill="0" applyAlignment="0" applyProtection="0"/>
    <xf numFmtId="0" fontId="83" fillId="0" borderId="385" applyNumberFormat="0" applyFont="0" applyFill="0" applyAlignment="0" applyProtection="0"/>
    <xf numFmtId="0" fontId="97" fillId="0" borderId="385" applyNumberFormat="0" applyFill="0" applyAlignment="0" applyProtection="0"/>
    <xf numFmtId="208" fontId="90" fillId="63" borderId="388"/>
    <xf numFmtId="167" fontId="87" fillId="0" borderId="387" applyFont="0"/>
    <xf numFmtId="0" fontId="177" fillId="67" borderId="110">
      <alignment horizontal="center" vertical="center" wrapText="1"/>
      <protection hidden="1"/>
    </xf>
    <xf numFmtId="0" fontId="17" fillId="21" borderId="407" applyNumberFormat="0" applyAlignment="0" applyProtection="0"/>
    <xf numFmtId="0" fontId="83" fillId="0" borderId="411" applyNumberFormat="0" applyFont="0" applyFill="0" applyAlignment="0" applyProtection="0"/>
    <xf numFmtId="208" fontId="90" fillId="63" borderId="413"/>
    <xf numFmtId="167" fontId="87" fillId="0" borderId="412" applyFont="0"/>
    <xf numFmtId="0" fontId="83" fillId="0" borderId="429" applyNumberFormat="0" applyFont="0" applyFill="0" applyAlignment="0" applyProtection="0"/>
    <xf numFmtId="0" fontId="99" fillId="0" borderId="430" applyNumberFormat="0" applyFont="0" applyFill="0" applyAlignment="0" applyProtection="0">
      <alignment horizontal="centerContinuous"/>
    </xf>
    <xf numFmtId="1" fontId="94" fillId="64" borderId="429" applyNumberFormat="0" applyBorder="0" applyAlignment="0">
      <alignment horizontal="center" vertical="top" wrapText="1"/>
      <protection hidden="1"/>
    </xf>
    <xf numFmtId="0" fontId="17" fillId="21" borderId="449" applyNumberFormat="0" applyAlignment="0" applyProtection="0"/>
    <xf numFmtId="165" fontId="88" fillId="0" borderId="428" applyNumberFormat="0" applyFont="0" applyBorder="0" applyProtection="0">
      <alignment horizontal="right"/>
    </xf>
    <xf numFmtId="207" fontId="12" fillId="0" borderId="428">
      <alignment horizontal="right"/>
      <protection locked="0"/>
    </xf>
    <xf numFmtId="0" fontId="83" fillId="0" borderId="455" applyNumberFormat="0" applyFont="0" applyFill="0" applyAlignment="0" applyProtection="0"/>
    <xf numFmtId="205" fontId="88" fillId="0" borderId="428" applyFill="0">
      <alignment horizontal="right"/>
    </xf>
    <xf numFmtId="3" fontId="12" fillId="0" borderId="428" applyFill="0">
      <alignment horizontal="right"/>
    </xf>
    <xf numFmtId="204" fontId="88" fillId="0" borderId="428" applyFill="0">
      <alignment horizontal="right"/>
    </xf>
    <xf numFmtId="204" fontId="88" fillId="0" borderId="428">
      <alignment horizontal="right"/>
    </xf>
    <xf numFmtId="0" fontId="17" fillId="21" borderId="474" applyNumberFormat="0" applyAlignment="0" applyProtection="0"/>
    <xf numFmtId="0" fontId="83" fillId="0" borderId="480" applyNumberFormat="0" applyFont="0" applyFill="0" applyAlignment="0" applyProtection="0"/>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08" fontId="90" fillId="63" borderId="481"/>
    <xf numFmtId="203" fontId="12" fillId="0" borderId="428">
      <alignment horizontal="right"/>
    </xf>
    <xf numFmtId="0" fontId="12" fillId="61" borderId="149" applyNumberFormat="0">
      <alignment horizontal="left" vertical="center"/>
    </xf>
    <xf numFmtId="0" fontId="12" fillId="60" borderId="149" applyNumberFormat="0">
      <alignment horizontal="centerContinuous" vertical="center" wrapText="1"/>
    </xf>
    <xf numFmtId="241" fontId="194" fillId="86" borderId="146" applyNumberFormat="0" applyBorder="0" applyAlignment="0" applyProtection="0">
      <alignment vertical="center"/>
    </xf>
    <xf numFmtId="171" fontId="12" fillId="0" borderId="385" applyBorder="0" applyProtection="0">
      <alignment horizontal="right" vertical="center"/>
    </xf>
    <xf numFmtId="0" fontId="189" fillId="83" borderId="385" applyBorder="0" applyProtection="0">
      <alignment horizontal="centerContinuous" vertical="center"/>
    </xf>
    <xf numFmtId="49" fontId="79" fillId="0" borderId="385">
      <alignment vertical="center"/>
    </xf>
    <xf numFmtId="283" fontId="79" fillId="0" borderId="385">
      <alignment horizontal="right"/>
    </xf>
    <xf numFmtId="0" fontId="12" fillId="61" borderId="177" applyNumberFormat="0">
      <alignment horizontal="left" vertical="center"/>
    </xf>
    <xf numFmtId="0" fontId="12" fillId="60" borderId="177" applyNumberFormat="0">
      <alignment horizontal="centerContinuous" vertical="center" wrapText="1"/>
    </xf>
    <xf numFmtId="0" fontId="147" fillId="73" borderId="207">
      <alignment horizontal="left" vertical="center" wrapText="1"/>
    </xf>
    <xf numFmtId="166" fontId="113" fillId="0" borderId="206">
      <protection locked="0"/>
    </xf>
    <xf numFmtId="208" fontId="90" fillId="63" borderId="205"/>
    <xf numFmtId="0" fontId="147" fillId="73" borderId="252">
      <alignment horizontal="left" vertical="center" wrapText="1"/>
    </xf>
    <xf numFmtId="166" fontId="113" fillId="0" borderId="251">
      <protection locked="0"/>
    </xf>
    <xf numFmtId="208" fontId="90" fillId="63" borderId="250"/>
    <xf numFmtId="0" fontId="147" fillId="73" borderId="160">
      <alignment horizontal="left" vertical="center" wrapText="1"/>
    </xf>
    <xf numFmtId="166" fontId="113" fillId="0" borderId="158">
      <protection locked="0"/>
    </xf>
    <xf numFmtId="208" fontId="90" fillId="63" borderId="157"/>
    <xf numFmtId="0" fontId="147" fillId="73" borderId="284">
      <alignment horizontal="left" vertical="center" wrapText="1"/>
    </xf>
    <xf numFmtId="0" fontId="147" fillId="73" borderId="238">
      <alignment horizontal="left" vertical="center" wrapText="1"/>
    </xf>
    <xf numFmtId="166" fontId="113" fillId="0" borderId="237">
      <protection locked="0"/>
    </xf>
    <xf numFmtId="208" fontId="90" fillId="63" borderId="236"/>
    <xf numFmtId="166" fontId="113" fillId="0" borderId="283">
      <protection locked="0"/>
    </xf>
    <xf numFmtId="208" fontId="90" fillId="63" borderId="282"/>
    <xf numFmtId="0" fontId="147" fillId="73" borderId="326">
      <alignment horizontal="left" vertical="center" wrapText="1"/>
    </xf>
    <xf numFmtId="166" fontId="113" fillId="0" borderId="323">
      <protection locked="0"/>
    </xf>
    <xf numFmtId="208" fontId="90" fillId="63" borderId="322"/>
    <xf numFmtId="0" fontId="147" fillId="73" borderId="355">
      <alignment horizontal="left" vertical="center" wrapText="1"/>
    </xf>
    <xf numFmtId="166" fontId="113" fillId="0" borderId="350">
      <protection locked="0"/>
    </xf>
    <xf numFmtId="208" fontId="90" fillId="63" borderId="348"/>
    <xf numFmtId="0" fontId="147" fillId="73" borderId="415">
      <alignment horizontal="left" vertical="center" wrapText="1"/>
    </xf>
    <xf numFmtId="166" fontId="113" fillId="0" borderId="414">
      <protection locked="0"/>
    </xf>
    <xf numFmtId="208" fontId="90" fillId="63" borderId="413"/>
    <xf numFmtId="0" fontId="147" fillId="73" borderId="391">
      <alignment horizontal="left" vertical="center" wrapText="1"/>
    </xf>
    <xf numFmtId="166" fontId="113" fillId="0" borderId="389">
      <protection locked="0"/>
    </xf>
    <xf numFmtId="208" fontId="90" fillId="63" borderId="388"/>
    <xf numFmtId="0" fontId="147" fillId="73" borderId="484">
      <alignment horizontal="left" vertical="center" wrapText="1"/>
    </xf>
    <xf numFmtId="166" fontId="113" fillId="0" borderId="482">
      <protection locked="0"/>
    </xf>
    <xf numFmtId="208" fontId="90" fillId="63" borderId="481"/>
    <xf numFmtId="0" fontId="147" fillId="73" borderId="145">
      <alignment horizontal="left" vertical="center" wrapText="1"/>
    </xf>
    <xf numFmtId="166" fontId="113" fillId="0" borderId="144">
      <protection locked="0"/>
    </xf>
    <xf numFmtId="208" fontId="90" fillId="63" borderId="143"/>
    <xf numFmtId="0" fontId="12" fillId="0" borderId="163"/>
    <xf numFmtId="0" fontId="12" fillId="0" borderId="212"/>
    <xf numFmtId="0" fontId="12" fillId="0" borderId="241"/>
    <xf numFmtId="0" fontId="12" fillId="0" borderId="255"/>
    <xf numFmtId="0" fontId="12" fillId="0" borderId="286"/>
    <xf numFmtId="0" fontId="147" fillId="73" borderId="174">
      <alignment horizontal="left" vertical="center" wrapText="1"/>
    </xf>
    <xf numFmtId="0" fontId="12" fillId="0" borderId="329"/>
    <xf numFmtId="14" fontId="85" fillId="0" borderId="224" applyFont="0" applyFill="0" applyBorder="0" applyAlignment="0" applyProtection="0"/>
    <xf numFmtId="10" fontId="108" fillId="65" borderId="163" applyNumberFormat="0" applyBorder="0" applyAlignment="0" applyProtection="0"/>
    <xf numFmtId="0" fontId="147" fillId="73" borderId="187">
      <alignment horizontal="left" vertical="center" wrapText="1"/>
    </xf>
    <xf numFmtId="2" fontId="149" fillId="0" borderId="224"/>
    <xf numFmtId="10" fontId="108" fillId="65" borderId="212" applyNumberFormat="0" applyBorder="0" applyAlignment="0" applyProtection="0"/>
    <xf numFmtId="0" fontId="12" fillId="0" borderId="435"/>
    <xf numFmtId="0" fontId="147" fillId="73" borderId="261">
      <alignment horizontal="left" vertical="center" wrapText="1"/>
    </xf>
    <xf numFmtId="14" fontId="85" fillId="0" borderId="291" applyFont="0" applyFill="0" applyBorder="0" applyAlignment="0" applyProtection="0"/>
    <xf numFmtId="10" fontId="108" fillId="65" borderId="241" applyNumberFormat="0" applyBorder="0" applyAlignment="0" applyProtection="0"/>
    <xf numFmtId="10" fontId="108" fillId="65" borderId="255" applyNumberFormat="0" applyBorder="0" applyAlignment="0" applyProtection="0"/>
    <xf numFmtId="2" fontId="149" fillId="0" borderId="291"/>
    <xf numFmtId="0" fontId="147" fillId="73" borderId="301">
      <alignment horizontal="left" vertical="center" wrapText="1"/>
    </xf>
    <xf numFmtId="0" fontId="47" fillId="0" borderId="168">
      <alignment horizontal="left" vertical="center"/>
    </xf>
    <xf numFmtId="0" fontId="12" fillId="0" borderId="456"/>
    <xf numFmtId="237" fontId="12" fillId="71" borderId="163" applyNumberFormat="0" applyFont="0" applyBorder="0" applyAlignment="0" applyProtection="0"/>
    <xf numFmtId="10" fontId="108" fillId="65" borderId="286" applyNumberFormat="0" applyBorder="0" applyAlignment="0" applyProtection="0"/>
    <xf numFmtId="0" fontId="12" fillId="0" borderId="486"/>
    <xf numFmtId="1" fontId="121" fillId="69" borderId="169" applyNumberFormat="0" applyBorder="0" applyAlignment="0">
      <alignment horizontal="centerContinuous" vertical="center"/>
      <protection locked="0"/>
    </xf>
    <xf numFmtId="0" fontId="47" fillId="0" borderId="217">
      <alignment horizontal="left" vertical="center"/>
    </xf>
    <xf numFmtId="237" fontId="12" fillId="71" borderId="212" applyNumberFormat="0" applyFont="0" applyBorder="0" applyAlignment="0" applyProtection="0"/>
    <xf numFmtId="0" fontId="25" fillId="8" borderId="164" applyNumberFormat="0" applyAlignment="0" applyProtection="0"/>
    <xf numFmtId="0" fontId="47" fillId="0" borderId="229">
      <alignment horizontal="left" vertical="center"/>
    </xf>
    <xf numFmtId="14" fontId="85" fillId="0" borderId="372" applyFont="0" applyFill="0" applyBorder="0" applyAlignment="0" applyProtection="0"/>
    <xf numFmtId="0" fontId="47" fillId="0" borderId="246">
      <alignment horizontal="left" vertical="center"/>
    </xf>
    <xf numFmtId="1" fontId="121" fillId="69" borderId="210" applyNumberFormat="0" applyBorder="0" applyAlignment="0">
      <alignment horizontal="centerContinuous" vertical="center"/>
      <protection locked="0"/>
    </xf>
    <xf numFmtId="10" fontId="108" fillId="65" borderId="329" applyNumberFormat="0" applyBorder="0" applyAlignment="0" applyProtection="0"/>
    <xf numFmtId="237" fontId="12" fillId="71" borderId="241" applyNumberFormat="0" applyFont="0" applyBorder="0" applyAlignment="0" applyProtection="0"/>
    <xf numFmtId="0" fontId="147" fillId="73" borderId="355">
      <alignment horizontal="left" vertical="center" wrapText="1"/>
    </xf>
    <xf numFmtId="14" fontId="85" fillId="0" borderId="441" applyFont="0" applyFill="0" applyBorder="0" applyAlignment="0" applyProtection="0"/>
    <xf numFmtId="0" fontId="47" fillId="0" borderId="257">
      <alignment horizontal="left" vertical="center"/>
    </xf>
    <xf numFmtId="2" fontId="149" fillId="0" borderId="372"/>
    <xf numFmtId="1" fontId="121" fillId="69" borderId="230" applyNumberFormat="0" applyBorder="0" applyAlignment="0">
      <alignment horizontal="centerContinuous" vertical="center"/>
      <protection locked="0"/>
    </xf>
    <xf numFmtId="237" fontId="12" fillId="71" borderId="255" applyNumberFormat="0" applyFont="0" applyBorder="0" applyAlignment="0" applyProtection="0"/>
    <xf numFmtId="0" fontId="25" fillId="8" borderId="213" applyNumberFormat="0" applyAlignment="0" applyProtection="0"/>
    <xf numFmtId="241" fontId="12" fillId="65" borderId="354" applyNumberFormat="0" applyFont="0" applyBorder="0" applyAlignment="0">
      <alignment horizontal="right" vertical="center"/>
      <protection locked="0"/>
    </xf>
    <xf numFmtId="224" fontId="108" fillId="0" borderId="147" applyFont="0" applyFill="0" applyBorder="0" applyAlignment="0" applyProtection="0"/>
    <xf numFmtId="0" fontId="147" fillId="73" borderId="375">
      <alignment horizontal="left" vertical="center" wrapText="1"/>
    </xf>
    <xf numFmtId="0" fontId="25" fillId="8" borderId="225" applyNumberFormat="0" applyAlignment="0" applyProtection="0"/>
    <xf numFmtId="0" fontId="147" fillId="73" borderId="402">
      <alignment horizontal="left" vertical="center" wrapText="1"/>
    </xf>
    <xf numFmtId="1" fontId="121" fillId="69" borderId="247" applyNumberFormat="0" applyBorder="0" applyAlignment="0">
      <alignment horizontal="centerContinuous" vertical="center"/>
      <protection locked="0"/>
    </xf>
    <xf numFmtId="0" fontId="147" fillId="73" borderId="425">
      <alignment horizontal="left" vertical="center" wrapText="1"/>
    </xf>
    <xf numFmtId="2" fontId="149" fillId="0" borderId="441"/>
    <xf numFmtId="241" fontId="12" fillId="65" borderId="401" applyNumberFormat="0" applyFont="0" applyBorder="0" applyAlignment="0">
      <alignment horizontal="right" vertical="center"/>
      <protection locked="0"/>
    </xf>
    <xf numFmtId="1" fontId="121" fillId="69" borderId="256" applyNumberFormat="0" applyBorder="0" applyAlignment="0">
      <alignment horizontal="centerContinuous" vertical="center"/>
      <protection locked="0"/>
    </xf>
    <xf numFmtId="0" fontId="47" fillId="0" borderId="296">
      <alignment horizontal="left" vertical="center"/>
    </xf>
    <xf numFmtId="224" fontId="108" fillId="0" borderId="147" applyFont="0" applyFill="0" applyBorder="0" applyAlignment="0" applyProtection="0"/>
    <xf numFmtId="0" fontId="25" fillId="8" borderId="242" applyNumberFormat="0" applyAlignment="0" applyProtection="0"/>
    <xf numFmtId="0" fontId="147" fillId="73" borderId="446">
      <alignment horizontal="left" vertical="center" wrapText="1"/>
    </xf>
    <xf numFmtId="237" fontId="12" fillId="71" borderId="286" applyNumberFormat="0" applyFont="0" applyBorder="0" applyAlignment="0" applyProtection="0"/>
    <xf numFmtId="231" fontId="85" fillId="0" borderId="224" applyFont="0" applyFill="0" applyBorder="0" applyAlignment="0" applyProtection="0"/>
    <xf numFmtId="224" fontId="108" fillId="0" borderId="147" applyFont="0" applyFill="0" applyBorder="0" applyAlignment="0" applyProtection="0"/>
    <xf numFmtId="238" fontId="87" fillId="0" borderId="344">
      <alignment horizontal="center"/>
    </xf>
    <xf numFmtId="224" fontId="108" fillId="0" borderId="147" applyFont="0" applyFill="0" applyBorder="0" applyAlignment="0" applyProtection="0"/>
    <xf numFmtId="10" fontId="108" fillId="65" borderId="435" applyNumberFormat="0" applyBorder="0" applyAlignment="0" applyProtection="0"/>
    <xf numFmtId="1" fontId="121" fillId="69" borderId="297" applyNumberFormat="0" applyBorder="0" applyAlignment="0">
      <alignment horizontal="centerContinuous" vertical="center"/>
      <protection locked="0"/>
    </xf>
    <xf numFmtId="238" fontId="87" fillId="0" borderId="353">
      <alignment horizontal="center"/>
    </xf>
    <xf numFmtId="0" fontId="147" fillId="73" borderId="470">
      <alignment horizontal="left" vertical="center" wrapText="1"/>
    </xf>
    <xf numFmtId="224" fontId="108" fillId="0" borderId="147" applyFont="0" applyFill="0" applyBorder="0" applyAlignment="0" applyProtection="0"/>
    <xf numFmtId="224" fontId="108" fillId="0" borderId="147" applyFont="0" applyFill="0" applyBorder="0" applyAlignment="0" applyProtection="0"/>
    <xf numFmtId="0" fontId="25" fillId="8" borderId="292" applyNumberFormat="0" applyAlignment="0" applyProtection="0"/>
    <xf numFmtId="0" fontId="47" fillId="0" borderId="338">
      <alignment horizontal="left" vertical="center"/>
    </xf>
    <xf numFmtId="237" fontId="12" fillId="71" borderId="329" applyNumberFormat="0" applyFont="0" applyBorder="0" applyAlignment="0" applyProtection="0"/>
    <xf numFmtId="224" fontId="108" fillId="0" borderId="147" applyFont="0" applyFill="0" applyBorder="0" applyAlignment="0" applyProtection="0"/>
    <xf numFmtId="10" fontId="108" fillId="65" borderId="456" applyNumberFormat="0" applyBorder="0" applyAlignment="0" applyProtection="0"/>
    <xf numFmtId="0" fontId="147" fillId="73" borderId="493">
      <alignment horizontal="left" vertical="center" wrapText="1"/>
    </xf>
    <xf numFmtId="231" fontId="85" fillId="0" borderId="291" applyFont="0" applyFill="0" applyBorder="0" applyAlignment="0" applyProtection="0"/>
    <xf numFmtId="241" fontId="12" fillId="65" borderId="492" applyNumberFormat="0" applyFont="0" applyBorder="0" applyAlignment="0">
      <alignment horizontal="right" vertical="center"/>
      <protection locked="0"/>
    </xf>
    <xf numFmtId="1" fontId="121" fillId="69" borderId="339" applyNumberFormat="0" applyBorder="0" applyAlignment="0">
      <alignment horizontal="centerContinuous" vertical="center"/>
      <protection locked="0"/>
    </xf>
    <xf numFmtId="224" fontId="108" fillId="0" borderId="147" applyFont="0" applyFill="0" applyBorder="0" applyAlignment="0" applyProtection="0"/>
    <xf numFmtId="10" fontId="108" fillId="65" borderId="486" applyNumberFormat="0" applyBorder="0" applyAlignment="0" applyProtection="0"/>
    <xf numFmtId="0" fontId="25" fillId="8" borderId="334" applyNumberFormat="0" applyAlignment="0" applyProtection="0"/>
    <xf numFmtId="0" fontId="47" fillId="0" borderId="440">
      <alignment horizontal="left" vertical="center"/>
    </xf>
    <xf numFmtId="237" fontId="12" fillId="71" borderId="435" applyNumberFormat="0" applyFont="0" applyBorder="0" applyAlignment="0" applyProtection="0"/>
    <xf numFmtId="224" fontId="108" fillId="0" borderId="147" applyFont="0" applyFill="0" applyBorder="0" applyAlignment="0" applyProtection="0"/>
    <xf numFmtId="227" fontId="78" fillId="0" borderId="343" applyNumberFormat="0" applyFill="0">
      <alignment horizontal="right"/>
    </xf>
    <xf numFmtId="227" fontId="78" fillId="0" borderId="343" applyNumberFormat="0" applyFill="0">
      <alignment horizontal="right"/>
    </xf>
    <xf numFmtId="224" fontId="108" fillId="0" borderId="324" applyFont="0" applyFill="0" applyBorder="0" applyAlignment="0" applyProtection="0"/>
    <xf numFmtId="1" fontId="121" fillId="69" borderId="436" applyNumberFormat="0" applyBorder="0" applyAlignment="0">
      <alignment horizontal="centerContinuous" vertical="center"/>
      <protection locked="0"/>
    </xf>
    <xf numFmtId="0" fontId="25" fillId="8" borderId="395" applyNumberFormat="0" applyAlignment="0" applyProtection="0"/>
    <xf numFmtId="0" fontId="25" fillId="8" borderId="419" applyNumberFormat="0" applyAlignment="0" applyProtection="0"/>
    <xf numFmtId="0" fontId="47" fillId="0" borderId="464">
      <alignment horizontal="left" vertical="center"/>
    </xf>
    <xf numFmtId="237" fontId="12" fillId="71" borderId="456" applyNumberFormat="0" applyFont="0" applyBorder="0" applyAlignment="0" applyProtection="0"/>
    <xf numFmtId="227" fontId="78" fillId="0" borderId="352" applyNumberFormat="0" applyFill="0">
      <alignment horizontal="right"/>
    </xf>
    <xf numFmtId="227" fontId="78" fillId="0" borderId="352" applyNumberFormat="0" applyFill="0">
      <alignment horizontal="right"/>
    </xf>
    <xf numFmtId="0" fontId="25" fillId="8" borderId="437" applyNumberFormat="0" applyAlignment="0" applyProtection="0"/>
    <xf numFmtId="224" fontId="108" fillId="0" borderId="351" applyFont="0" applyFill="0" applyBorder="0" applyAlignment="0" applyProtection="0"/>
    <xf numFmtId="231" fontId="85" fillId="0" borderId="372" applyFont="0" applyFill="0" applyBorder="0" applyAlignment="0" applyProtection="0"/>
    <xf numFmtId="224" fontId="108" fillId="0" borderId="351" applyFont="0" applyFill="0" applyBorder="0" applyAlignment="0" applyProtection="0"/>
    <xf numFmtId="0" fontId="47" fillId="0" borderId="488">
      <alignment horizontal="left" vertical="center"/>
    </xf>
    <xf numFmtId="1" fontId="121" fillId="69" borderId="465" applyNumberFormat="0" applyBorder="0" applyAlignment="0">
      <alignment horizontal="centerContinuous" vertical="center"/>
      <protection locked="0"/>
    </xf>
    <xf numFmtId="224" fontId="108" fillId="0" borderId="390" applyFont="0" applyFill="0" applyBorder="0" applyAlignment="0" applyProtection="0"/>
    <xf numFmtId="231" fontId="85" fillId="0" borderId="441" applyFont="0" applyFill="0" applyBorder="0" applyAlignment="0" applyProtection="0"/>
    <xf numFmtId="237" fontId="12" fillId="71" borderId="486" applyNumberFormat="0" applyFont="0" applyBorder="0" applyAlignment="0" applyProtection="0"/>
    <xf numFmtId="224" fontId="108" fillId="0" borderId="390" applyFont="0" applyFill="0" applyBorder="0" applyAlignment="0" applyProtection="0"/>
    <xf numFmtId="0" fontId="25" fillId="8" borderId="460" applyNumberFormat="0" applyAlignment="0" applyProtection="0"/>
    <xf numFmtId="224" fontId="108" fillId="0" borderId="390" applyFont="0" applyFill="0" applyBorder="0" applyAlignment="0" applyProtection="0"/>
    <xf numFmtId="1" fontId="121" fillId="69" borderId="487" applyNumberFormat="0" applyBorder="0" applyAlignment="0">
      <alignment horizontal="centerContinuous" vertical="center"/>
      <protection locked="0"/>
    </xf>
    <xf numFmtId="224" fontId="108" fillId="0" borderId="390" applyFont="0" applyFill="0" applyBorder="0" applyAlignment="0" applyProtection="0"/>
    <xf numFmtId="224" fontId="108" fillId="0" borderId="483" applyFont="0" applyFill="0" applyBorder="0" applyAlignment="0" applyProtection="0"/>
    <xf numFmtId="241" fontId="194" fillId="86" borderId="208" applyNumberFormat="0" applyBorder="0" applyAlignment="0" applyProtection="0">
      <alignment vertical="center"/>
    </xf>
    <xf numFmtId="171" fontId="85" fillId="0" borderId="209"/>
    <xf numFmtId="241" fontId="194" fillId="86" borderId="161" applyNumberFormat="0" applyBorder="0" applyAlignment="0" applyProtection="0">
      <alignment vertical="center"/>
    </xf>
    <xf numFmtId="171" fontId="85" fillId="0" borderId="162"/>
    <xf numFmtId="241" fontId="194" fillId="86" borderId="253" applyNumberFormat="0" applyBorder="0" applyAlignment="0" applyProtection="0">
      <alignment vertical="center"/>
    </xf>
    <xf numFmtId="171" fontId="85" fillId="0" borderId="254"/>
    <xf numFmtId="241" fontId="194" fillId="86" borderId="239" applyNumberFormat="0" applyBorder="0" applyAlignment="0" applyProtection="0">
      <alignment vertical="center"/>
    </xf>
    <xf numFmtId="171" fontId="85" fillId="0" borderId="240"/>
    <xf numFmtId="171" fontId="85" fillId="0" borderId="285"/>
    <xf numFmtId="241" fontId="194" fillId="86" borderId="327" applyNumberFormat="0" applyBorder="0" applyAlignment="0" applyProtection="0">
      <alignment vertical="center"/>
    </xf>
    <xf numFmtId="171" fontId="85" fillId="0" borderId="328"/>
    <xf numFmtId="166" fontId="113" fillId="0" borderId="173">
      <protection locked="0"/>
    </xf>
    <xf numFmtId="0" fontId="12" fillId="24" borderId="165" applyNumberFormat="0" applyFont="0" applyAlignment="0" applyProtection="0"/>
    <xf numFmtId="166" fontId="113" fillId="0" borderId="186">
      <protection locked="0"/>
    </xf>
    <xf numFmtId="0" fontId="12" fillId="24" borderId="214" applyNumberFormat="0" applyFont="0" applyAlignment="0" applyProtection="0"/>
    <xf numFmtId="241" fontId="194" fillId="86" borderId="357" applyNumberFormat="0" applyBorder="0" applyAlignment="0" applyProtection="0">
      <alignment vertical="center"/>
    </xf>
    <xf numFmtId="171" fontId="85" fillId="0" borderId="358"/>
    <xf numFmtId="0" fontId="12" fillId="24" borderId="226" applyNumberFormat="0" applyFont="0" applyAlignment="0" applyProtection="0"/>
    <xf numFmtId="0" fontId="12" fillId="24" borderId="243" applyNumberFormat="0" applyFont="0" applyAlignment="0" applyProtection="0"/>
    <xf numFmtId="241" fontId="194" fillId="86" borderId="416" applyNumberFormat="0" applyBorder="0" applyAlignment="0" applyProtection="0">
      <alignment vertical="center"/>
    </xf>
    <xf numFmtId="171" fontId="85" fillId="0" borderId="417"/>
    <xf numFmtId="241" fontId="194" fillId="86" borderId="392" applyNumberFormat="0" applyBorder="0" applyAlignment="0" applyProtection="0">
      <alignment vertical="center"/>
    </xf>
    <xf numFmtId="171" fontId="85" fillId="0" borderId="393"/>
    <xf numFmtId="166" fontId="113" fillId="0" borderId="260">
      <protection locked="0"/>
    </xf>
    <xf numFmtId="166" fontId="113" fillId="0" borderId="300">
      <protection locked="0"/>
    </xf>
    <xf numFmtId="0" fontId="12" fillId="24" borderId="293" applyNumberFormat="0" applyFont="0" applyAlignment="0" applyProtection="0"/>
    <xf numFmtId="0" fontId="12" fillId="24" borderId="335" applyNumberFormat="0" applyFont="0" applyAlignment="0" applyProtection="0"/>
    <xf numFmtId="241" fontId="194" fillId="86" borderId="485" applyNumberFormat="0" applyBorder="0" applyAlignment="0" applyProtection="0">
      <alignment vertical="center"/>
    </xf>
    <xf numFmtId="166" fontId="113" fillId="0" borderId="350">
      <protection locked="0"/>
    </xf>
    <xf numFmtId="166" fontId="113" fillId="0" borderId="374">
      <protection locked="0"/>
    </xf>
    <xf numFmtId="166" fontId="113" fillId="0" borderId="400">
      <protection locked="0"/>
    </xf>
    <xf numFmtId="0" fontId="12" fillId="24" borderId="396" applyNumberFormat="0" applyFont="0" applyAlignment="0" applyProtection="0"/>
    <xf numFmtId="166" fontId="113" fillId="0" borderId="424">
      <protection locked="0"/>
    </xf>
    <xf numFmtId="0" fontId="12" fillId="24" borderId="420" applyNumberFormat="0" applyFont="0" applyAlignment="0" applyProtection="0"/>
    <xf numFmtId="166" fontId="113" fillId="0" borderId="445">
      <protection locked="0"/>
    </xf>
    <xf numFmtId="0" fontId="17" fillId="21" borderId="164" applyNumberFormat="0" applyAlignment="0" applyProtection="0"/>
    <xf numFmtId="0" fontId="83" fillId="0" borderId="170" applyNumberFormat="0" applyFont="0" applyFill="0" applyAlignment="0" applyProtection="0"/>
    <xf numFmtId="166" fontId="113" fillId="0" borderId="469">
      <protection locked="0"/>
    </xf>
    <xf numFmtId="208" fontId="90" fillId="63" borderId="172"/>
    <xf numFmtId="0" fontId="12" fillId="24" borderId="461" applyNumberFormat="0" applyFont="0" applyAlignment="0" applyProtection="0"/>
    <xf numFmtId="0" fontId="17" fillId="21" borderId="213" applyNumberFormat="0" applyAlignment="0" applyProtection="0"/>
    <xf numFmtId="167" fontId="87" fillId="0" borderId="171" applyFont="0"/>
    <xf numFmtId="0" fontId="83" fillId="0" borderId="211" applyNumberFormat="0" applyFont="0" applyFill="0" applyAlignment="0" applyProtection="0"/>
    <xf numFmtId="0" fontId="17" fillId="21" borderId="225" applyNumberFormat="0" applyAlignment="0" applyProtection="0"/>
    <xf numFmtId="208" fontId="90" fillId="63" borderId="185"/>
    <xf numFmtId="166" fontId="113" fillId="0" borderId="491">
      <protection locked="0"/>
    </xf>
    <xf numFmtId="0" fontId="83" fillId="0" borderId="231" applyNumberFormat="0" applyFont="0" applyFill="0" applyAlignment="0" applyProtection="0"/>
    <xf numFmtId="0" fontId="83" fillId="0" borderId="224" applyNumberFormat="0" applyFont="0" applyFill="0" applyAlignment="0" applyProtection="0"/>
    <xf numFmtId="0" fontId="97" fillId="0" borderId="224" applyNumberFormat="0" applyFill="0" applyAlignment="0" applyProtection="0"/>
    <xf numFmtId="0" fontId="17" fillId="21" borderId="242" applyNumberFormat="0" applyAlignment="0" applyProtection="0"/>
    <xf numFmtId="167" fontId="87" fillId="0" borderId="218" applyFont="0"/>
    <xf numFmtId="0" fontId="83" fillId="0" borderId="248" applyNumberFormat="0" applyFont="0" applyFill="0" applyAlignment="0" applyProtection="0"/>
    <xf numFmtId="167" fontId="87" fillId="0" borderId="249" applyFont="0"/>
    <xf numFmtId="0" fontId="17" fillId="21" borderId="292" applyNumberFormat="0" applyAlignment="0" applyProtection="0"/>
    <xf numFmtId="208" fontId="90" fillId="63" borderId="259"/>
    <xf numFmtId="0" fontId="83" fillId="0" borderId="298" applyNumberFormat="0" applyFont="0" applyFill="0" applyAlignment="0" applyProtection="0"/>
    <xf numFmtId="167" fontId="87" fillId="0" borderId="258" applyFont="0"/>
    <xf numFmtId="0" fontId="83" fillId="0" borderId="291" applyNumberFormat="0" applyFont="0" applyFill="0" applyAlignment="0" applyProtection="0"/>
    <xf numFmtId="0" fontId="97" fillId="0" borderId="291" applyNumberFormat="0" applyFill="0" applyAlignment="0" applyProtection="0"/>
    <xf numFmtId="208" fontId="90" fillId="63" borderId="299"/>
    <xf numFmtId="0" fontId="17" fillId="21" borderId="334" applyNumberFormat="0" applyAlignment="0" applyProtection="0"/>
    <xf numFmtId="0" fontId="83" fillId="0" borderId="340" applyNumberFormat="0" applyFont="0" applyFill="0" applyAlignment="0" applyProtection="0"/>
    <xf numFmtId="0" fontId="99" fillId="0" borderId="342" applyNumberFormat="0" applyFont="0" applyFill="0" applyAlignment="0" applyProtection="0">
      <alignment horizontal="centerContinuous"/>
    </xf>
    <xf numFmtId="167" fontId="87" fillId="0" borderId="341" applyFont="0"/>
    <xf numFmtId="0" fontId="99" fillId="0" borderId="349" applyNumberFormat="0" applyFont="0" applyFill="0" applyAlignment="0" applyProtection="0">
      <alignment horizontal="centerContinuous"/>
    </xf>
    <xf numFmtId="0" fontId="17" fillId="21" borderId="395" applyNumberFormat="0" applyAlignment="0" applyProtection="0"/>
    <xf numFmtId="0" fontId="83" fillId="0" borderId="372" applyNumberFormat="0" applyFont="0" applyFill="0" applyAlignment="0" applyProtection="0"/>
    <xf numFmtId="208" fontId="90" fillId="63" borderId="348"/>
    <xf numFmtId="0" fontId="97" fillId="0" borderId="372" applyNumberFormat="0" applyFill="0" applyAlignment="0" applyProtection="0"/>
    <xf numFmtId="0" fontId="17" fillId="21" borderId="419" applyNumberFormat="0" applyAlignment="0" applyProtection="0"/>
    <xf numFmtId="0" fontId="83" fillId="0" borderId="394" applyNumberFormat="0" applyFont="0" applyFill="0" applyAlignment="0" applyProtection="0"/>
    <xf numFmtId="208" fontId="90" fillId="63" borderId="373"/>
    <xf numFmtId="241" fontId="194" fillId="86" borderId="146" applyNumberFormat="0" applyBorder="0" applyAlignment="0" applyProtection="0">
      <alignment vertical="center"/>
    </xf>
    <xf numFmtId="0" fontId="83" fillId="0" borderId="418" applyNumberFormat="0" applyFont="0" applyFill="0" applyAlignment="0" applyProtection="0"/>
    <xf numFmtId="0" fontId="17" fillId="21" borderId="437" applyNumberFormat="0" applyAlignment="0" applyProtection="0"/>
    <xf numFmtId="208" fontId="90" fillId="63" borderId="399"/>
    <xf numFmtId="0" fontId="83" fillId="0" borderId="442" applyNumberFormat="0" applyFont="0" applyFill="0" applyAlignment="0" applyProtection="0"/>
    <xf numFmtId="0" fontId="83" fillId="0" borderId="441" applyNumberFormat="0" applyFont="0" applyFill="0" applyAlignment="0" applyProtection="0"/>
    <xf numFmtId="0" fontId="97" fillId="0" borderId="441" applyNumberFormat="0" applyFill="0" applyAlignment="0" applyProtection="0"/>
    <xf numFmtId="208" fontId="90" fillId="63" borderId="423"/>
    <xf numFmtId="208" fontId="90" fillId="63" borderId="444"/>
    <xf numFmtId="0" fontId="17" fillId="21" borderId="460" applyNumberFormat="0" applyAlignment="0" applyProtection="0"/>
    <xf numFmtId="167" fontId="87" fillId="0" borderId="443" applyFont="0"/>
    <xf numFmtId="0" fontId="83" fillId="0" borderId="466" applyNumberFormat="0" applyFont="0" applyFill="0" applyAlignment="0" applyProtection="0"/>
    <xf numFmtId="208" fontId="90" fillId="63" borderId="468"/>
    <xf numFmtId="167" fontId="87" fillId="0" borderId="467" applyFont="0"/>
    <xf numFmtId="208" fontId="90" fillId="63" borderId="490"/>
    <xf numFmtId="167" fontId="87" fillId="0" borderId="489" applyFont="0"/>
    <xf numFmtId="0" fontId="12" fillId="61" borderId="164" applyNumberFormat="0">
      <alignment horizontal="left" vertical="center"/>
    </xf>
    <xf numFmtId="0" fontId="12" fillId="60" borderId="164" applyNumberFormat="0">
      <alignment horizontal="centerContinuous" vertical="center" wrapText="1"/>
    </xf>
    <xf numFmtId="0" fontId="30" fillId="0" borderId="167" applyNumberFormat="0" applyFill="0" applyAlignment="0" applyProtection="0"/>
    <xf numFmtId="0" fontId="17" fillId="21" borderId="164" applyNumberFormat="0" applyAlignment="0" applyProtection="0"/>
    <xf numFmtId="0" fontId="12" fillId="24" borderId="165" applyNumberFormat="0" applyFont="0" applyAlignment="0" applyProtection="0"/>
    <xf numFmtId="0" fontId="28" fillId="21" borderId="166" applyNumberFormat="0" applyAlignment="0" applyProtection="0"/>
    <xf numFmtId="0" fontId="12" fillId="25" borderId="163" applyNumberFormat="0" applyProtection="0">
      <alignment horizontal="left" vertical="center"/>
    </xf>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25" fillId="8" borderId="164" applyNumberFormat="0" applyAlignment="0" applyProtection="0"/>
    <xf numFmtId="0" fontId="12" fillId="24" borderId="165" applyNumberFormat="0" applyFont="0" applyAlignment="0" applyProtection="0"/>
    <xf numFmtId="0" fontId="12" fillId="61" borderId="198" applyNumberFormat="0">
      <alignment horizontal="left" vertical="center"/>
    </xf>
    <xf numFmtId="0" fontId="12" fillId="60" borderId="198" applyNumberFormat="0">
      <alignment horizontal="centerContinuous" vertical="center" wrapText="1"/>
    </xf>
    <xf numFmtId="0" fontId="17" fillId="21"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2" fillId="25" borderId="163" applyNumberFormat="0" applyProtection="0">
      <alignment horizontal="left" vertical="center"/>
    </xf>
    <xf numFmtId="0" fontId="25" fillId="8" borderId="164" applyNumberFormat="0" applyAlignment="0" applyProtection="0"/>
    <xf numFmtId="0" fontId="12" fillId="61" borderId="213" applyNumberFormat="0">
      <alignment horizontal="left" vertical="center"/>
    </xf>
    <xf numFmtId="0" fontId="12" fillId="60" borderId="213" applyNumberFormat="0">
      <alignment horizontal="centerContinuous" vertical="center" wrapText="1"/>
    </xf>
    <xf numFmtId="0" fontId="12" fillId="61" borderId="225" applyNumberFormat="0">
      <alignment horizontal="left" vertical="center"/>
    </xf>
    <xf numFmtId="0" fontId="12" fillId="60" borderId="225" applyNumberFormat="0">
      <alignment horizontal="centerContinuous" vertical="center" wrapText="1"/>
    </xf>
    <xf numFmtId="0" fontId="12" fillId="25" borderId="232" applyNumberFormat="0" applyProtection="0">
      <alignment horizontal="left" vertical="center"/>
    </xf>
    <xf numFmtId="0" fontId="17" fillId="21" borderId="225" applyNumberFormat="0" applyAlignment="0" applyProtection="0"/>
    <xf numFmtId="0" fontId="30" fillId="0" borderId="228" applyNumberFormat="0" applyFill="0" applyAlignment="0" applyProtection="0"/>
    <xf numFmtId="0" fontId="12" fillId="25" borderId="232" applyNumberFormat="0" applyProtection="0">
      <alignment horizontal="left" vertical="center"/>
    </xf>
    <xf numFmtId="0" fontId="25" fillId="8" borderId="225"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8" fillId="21" borderId="227" applyNumberFormat="0" applyAlignment="0" applyProtection="0"/>
    <xf numFmtId="0" fontId="12" fillId="24" borderId="226" applyNumberFormat="0" applyFont="0" applyAlignment="0" applyProtection="0"/>
    <xf numFmtId="0" fontId="17" fillId="21" borderId="225" applyNumberFormat="0" applyAlignment="0" applyProtection="0"/>
    <xf numFmtId="0" fontId="25" fillId="8" borderId="225"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8" fillId="21" borderId="227" applyNumberFormat="0" applyAlignment="0" applyProtection="0"/>
    <xf numFmtId="0" fontId="30" fillId="0" borderId="228" applyNumberFormat="0" applyFill="0" applyAlignment="0" applyProtection="0"/>
    <xf numFmtId="0" fontId="17" fillId="21" borderId="225" applyNumberFormat="0" applyAlignment="0" applyProtection="0"/>
    <xf numFmtId="0" fontId="25" fillId="8" borderId="225" applyNumberFormat="0" applyAlignment="0" applyProtection="0"/>
    <xf numFmtId="0" fontId="12" fillId="61" borderId="242" applyNumberFormat="0">
      <alignment horizontal="left" vertical="center"/>
    </xf>
    <xf numFmtId="0" fontId="12" fillId="60" borderId="242" applyNumberFormat="0">
      <alignment horizontal="centerContinuous" vertical="center" wrapText="1"/>
    </xf>
    <xf numFmtId="0" fontId="28" fillId="21" borderId="268" applyNumberFormat="0" applyAlignment="0" applyProtection="0"/>
    <xf numFmtId="0" fontId="25" fillId="8" borderId="267" applyNumberFormat="0" applyAlignment="0" applyProtection="0"/>
    <xf numFmtId="0" fontId="28" fillId="21" borderId="268" applyNumberFormat="0" applyAlignment="0" applyProtection="0"/>
    <xf numFmtId="0" fontId="30" fillId="0" borderId="269" applyNumberFormat="0" applyFill="0" applyAlignment="0" applyProtection="0"/>
    <xf numFmtId="0" fontId="17" fillId="21" borderId="267" applyNumberFormat="0" applyAlignment="0" applyProtection="0"/>
    <xf numFmtId="0" fontId="12" fillId="25" borderId="265" applyNumberFormat="0" applyProtection="0">
      <alignment horizontal="left" vertical="center"/>
    </xf>
    <xf numFmtId="0" fontId="12" fillId="61" borderId="267" applyNumberFormat="0">
      <alignment horizontal="left" vertical="center"/>
    </xf>
    <xf numFmtId="0" fontId="12" fillId="60" borderId="267" applyNumberFormat="0">
      <alignment horizontal="centerContinuous" vertical="center" wrapText="1"/>
    </xf>
    <xf numFmtId="0" fontId="17" fillId="21" borderId="267" applyNumberFormat="0" applyAlignment="0" applyProtection="0"/>
    <xf numFmtId="0" fontId="25" fillId="8" borderId="267" applyNumberFormat="0" applyAlignment="0" applyProtection="0"/>
    <xf numFmtId="0" fontId="30" fillId="0" borderId="269" applyNumberFormat="0" applyFill="0" applyAlignment="0" applyProtection="0"/>
    <xf numFmtId="0" fontId="12" fillId="61" borderId="292" applyNumberFormat="0">
      <alignment horizontal="left" vertical="center"/>
    </xf>
    <xf numFmtId="0" fontId="12" fillId="60" borderId="292" applyNumberFormat="0">
      <alignment horizontal="centerContinuous" vertical="center" wrapText="1"/>
    </xf>
    <xf numFmtId="0" fontId="25" fillId="8" borderId="330" applyNumberFormat="0" applyAlignment="0" applyProtection="0"/>
    <xf numFmtId="0" fontId="12" fillId="61" borderId="305" applyNumberFormat="0">
      <alignment horizontal="left" vertical="center"/>
    </xf>
    <xf numFmtId="0" fontId="12" fillId="60" borderId="305" applyNumberFormat="0">
      <alignment horizontal="centerContinuous" vertical="center" wrapText="1"/>
    </xf>
    <xf numFmtId="0" fontId="12" fillId="61" borderId="314" applyNumberFormat="0">
      <alignment horizontal="left" vertical="center"/>
    </xf>
    <xf numFmtId="0" fontId="12" fillId="60" borderId="314" applyNumberFormat="0">
      <alignment horizontal="centerContinuous" vertical="center" wrapText="1"/>
    </xf>
    <xf numFmtId="0" fontId="12" fillId="24" borderId="331" applyNumberFormat="0" applyFont="0" applyAlignment="0" applyProtection="0"/>
    <xf numFmtId="0" fontId="12" fillId="25" borderId="329" applyNumberFormat="0" applyProtection="0">
      <alignment horizontal="left" vertical="center"/>
    </xf>
    <xf numFmtId="0" fontId="17" fillId="21" borderId="330" applyNumberFormat="0" applyAlignment="0" applyProtection="0"/>
    <xf numFmtId="0" fontId="12" fillId="24" borderId="331" applyNumberFormat="0" applyFont="0" applyAlignment="0" applyProtection="0"/>
    <xf numFmtId="0" fontId="28" fillId="21" borderId="332" applyNumberFormat="0" applyAlignment="0" applyProtection="0"/>
    <xf numFmtId="0" fontId="30" fillId="0" borderId="333" applyNumberFormat="0" applyFill="0" applyAlignment="0" applyProtection="0"/>
    <xf numFmtId="0" fontId="12" fillId="25" borderId="329" applyNumberFormat="0" applyProtection="0">
      <alignment horizontal="left" vertical="center"/>
    </xf>
    <xf numFmtId="0" fontId="28" fillId="21" borderId="332" applyNumberFormat="0" applyAlignment="0" applyProtection="0"/>
    <xf numFmtId="0" fontId="12" fillId="61" borderId="334" applyNumberFormat="0">
      <alignment horizontal="left" vertical="center"/>
    </xf>
    <xf numFmtId="0" fontId="12" fillId="60" borderId="334" applyNumberFormat="0">
      <alignment horizontal="centerContinuous" vertical="center" wrapText="1"/>
    </xf>
    <xf numFmtId="0" fontId="17" fillId="21" borderId="330" applyNumberFormat="0" applyAlignment="0" applyProtection="0"/>
    <xf numFmtId="0" fontId="25" fillId="8" borderId="330" applyNumberFormat="0" applyAlignment="0" applyProtection="0"/>
    <xf numFmtId="0" fontId="12" fillId="24" borderId="331" applyNumberFormat="0" applyFont="0" applyAlignment="0" applyProtection="0"/>
    <xf numFmtId="0" fontId="12" fillId="24" borderId="331" applyNumberFormat="0" applyFont="0" applyAlignment="0" applyProtection="0"/>
    <xf numFmtId="0" fontId="28" fillId="21" borderId="332" applyNumberFormat="0" applyAlignment="0" applyProtection="0"/>
    <xf numFmtId="0" fontId="30" fillId="0" borderId="333" applyNumberFormat="0" applyFill="0" applyAlignment="0" applyProtection="0"/>
    <xf numFmtId="0" fontId="17" fillId="21" borderId="330" applyNumberFormat="0" applyAlignment="0" applyProtection="0"/>
    <xf numFmtId="0" fontId="25" fillId="8" borderId="330" applyNumberFormat="0" applyAlignment="0" applyProtection="0"/>
    <xf numFmtId="0" fontId="12" fillId="24" borderId="331" applyNumberFormat="0" applyFont="0" applyAlignment="0" applyProtection="0"/>
    <xf numFmtId="0" fontId="12" fillId="24" borderId="331" applyNumberFormat="0" applyFont="0" applyAlignment="0" applyProtection="0"/>
    <xf numFmtId="0" fontId="25" fillId="8" borderId="380" applyNumberFormat="0" applyAlignment="0" applyProtection="0"/>
    <xf numFmtId="0" fontId="12" fillId="24" borderId="381" applyNumberFormat="0" applyFont="0" applyAlignment="0" applyProtection="0"/>
    <xf numFmtId="0" fontId="17" fillId="21" borderId="380" applyNumberFormat="0" applyAlignment="0" applyProtection="0"/>
    <xf numFmtId="0" fontId="12" fillId="61" borderId="330" applyNumberFormat="0">
      <alignment horizontal="left" vertical="center"/>
    </xf>
    <xf numFmtId="0" fontId="12" fillId="60" borderId="330" applyNumberFormat="0">
      <alignment horizontal="centerContinuous" vertical="center" wrapText="1"/>
    </xf>
    <xf numFmtId="0" fontId="28" fillId="21" borderId="382" applyNumberFormat="0" applyAlignment="0" applyProtection="0"/>
    <xf numFmtId="0" fontId="12" fillId="25" borderId="148" applyNumberFormat="0" applyProtection="0">
      <alignment horizontal="left" vertical="center"/>
    </xf>
    <xf numFmtId="0" fontId="12" fillId="25" borderId="148" applyNumberFormat="0" applyProtection="0">
      <alignment horizontal="left" vertical="center"/>
    </xf>
    <xf numFmtId="0" fontId="12" fillId="61" borderId="395" applyNumberFormat="0">
      <alignment horizontal="left" vertical="center"/>
    </xf>
    <xf numFmtId="0" fontId="12" fillId="60" borderId="395" applyNumberFormat="0">
      <alignment horizontal="centerContinuous" vertical="center" wrapText="1"/>
    </xf>
    <xf numFmtId="0" fontId="30" fillId="0" borderId="439" applyNumberFormat="0" applyFill="0" applyAlignment="0" applyProtection="0"/>
    <xf numFmtId="0" fontId="17" fillId="21" borderId="437" applyNumberFormat="0" applyAlignment="0" applyProtection="0"/>
    <xf numFmtId="0" fontId="30" fillId="0" borderId="152" applyNumberFormat="0" applyFill="0" applyAlignment="0" applyProtection="0"/>
    <xf numFmtId="0" fontId="28" fillId="21" borderId="151" applyNumberFormat="0" applyAlignment="0" applyProtection="0"/>
    <xf numFmtId="0" fontId="12" fillId="24" borderId="150" applyNumberFormat="0" applyFont="0" applyAlignment="0" applyProtection="0"/>
    <xf numFmtId="0" fontId="12" fillId="24" borderId="150" applyNumberFormat="0" applyFont="0" applyAlignment="0" applyProtection="0"/>
    <xf numFmtId="0" fontId="25" fillId="8" borderId="149" applyNumberFormat="0" applyAlignment="0" applyProtection="0"/>
    <xf numFmtId="0" fontId="17" fillId="21" borderId="149" applyNumberFormat="0" applyAlignment="0" applyProtection="0"/>
    <xf numFmtId="0" fontId="30" fillId="0" borderId="152" applyNumberFormat="0" applyFill="0" applyAlignment="0" applyProtection="0"/>
    <xf numFmtId="0" fontId="28" fillId="21" borderId="151" applyNumberFormat="0" applyAlignment="0" applyProtection="0"/>
    <xf numFmtId="0" fontId="12" fillId="24" borderId="150" applyNumberFormat="0" applyFont="0" applyAlignment="0" applyProtection="0"/>
    <xf numFmtId="0" fontId="12" fillId="24" borderId="150" applyNumberFormat="0" applyFont="0" applyAlignment="0" applyProtection="0"/>
    <xf numFmtId="0" fontId="25" fillId="8" borderId="149" applyNumberFormat="0" applyAlignment="0" applyProtection="0"/>
    <xf numFmtId="0" fontId="17" fillId="21" borderId="149" applyNumberFormat="0" applyAlignment="0" applyProtection="0"/>
    <xf numFmtId="0" fontId="30" fillId="0" borderId="152" applyNumberFormat="0" applyFill="0" applyAlignment="0" applyProtection="0"/>
    <xf numFmtId="0" fontId="28" fillId="21" borderId="151" applyNumberFormat="0" applyAlignment="0" applyProtection="0"/>
    <xf numFmtId="0" fontId="12" fillId="24" borderId="150" applyNumberFormat="0" applyFont="0" applyAlignment="0" applyProtection="0"/>
    <xf numFmtId="0" fontId="12" fillId="24" borderId="150" applyNumberFormat="0" applyFont="0" applyAlignment="0" applyProtection="0"/>
    <xf numFmtId="0" fontId="25" fillId="8" borderId="149" applyNumberFormat="0" applyAlignment="0" applyProtection="0"/>
    <xf numFmtId="0" fontId="17" fillId="21" borderId="149" applyNumberFormat="0" applyAlignment="0" applyProtection="0"/>
    <xf numFmtId="0" fontId="30" fillId="0" borderId="152" applyNumberFormat="0" applyFill="0" applyAlignment="0" applyProtection="0"/>
    <xf numFmtId="0" fontId="28" fillId="21" borderId="151" applyNumberFormat="0" applyAlignment="0" applyProtection="0"/>
    <xf numFmtId="0" fontId="12" fillId="25" borderId="163" applyNumberFormat="0" applyProtection="0">
      <alignment horizontal="left" vertical="center"/>
    </xf>
    <xf numFmtId="0" fontId="12" fillId="25" borderId="163" applyNumberFormat="0" applyProtection="0">
      <alignment horizontal="left" vertical="center"/>
    </xf>
    <xf numFmtId="0" fontId="12" fillId="24" borderId="150" applyNumberFormat="0" applyFont="0" applyAlignment="0" applyProtection="0"/>
    <xf numFmtId="0" fontId="12" fillId="24" borderId="150" applyNumberFormat="0" applyFont="0" applyAlignment="0" applyProtection="0"/>
    <xf numFmtId="0" fontId="12" fillId="61" borderId="386" applyNumberFormat="0">
      <alignment horizontal="left" vertical="center"/>
    </xf>
    <xf numFmtId="0" fontId="12" fillId="60" borderId="386" applyNumberFormat="0">
      <alignment horizontal="centerContinuous" vertical="center" wrapText="1"/>
    </xf>
    <xf numFmtId="0" fontId="25" fillId="8" borderId="149" applyNumberFormat="0" applyAlignment="0" applyProtection="0"/>
    <xf numFmtId="0" fontId="12" fillId="24" borderId="381" applyNumberFormat="0" applyFont="0" applyAlignment="0" applyProtection="0"/>
    <xf numFmtId="0" fontId="28" fillId="21" borderId="438" applyNumberFormat="0" applyAlignment="0" applyProtection="0"/>
    <xf numFmtId="0" fontId="25" fillId="8" borderId="437" applyNumberFormat="0" applyAlignment="0" applyProtection="0"/>
    <xf numFmtId="0" fontId="17" fillId="21" borderId="149" applyNumberFormat="0" applyAlignment="0" applyProtection="0"/>
    <xf numFmtId="0" fontId="12" fillId="61" borderId="419" applyNumberFormat="0">
      <alignment horizontal="left" vertical="center"/>
    </xf>
    <xf numFmtId="0" fontId="12" fillId="60" borderId="419" applyNumberFormat="0">
      <alignment horizontal="centerContinuous" vertical="center" wrapText="1"/>
    </xf>
    <xf numFmtId="0" fontId="12" fillId="25" borderId="176" applyNumberFormat="0" applyProtection="0">
      <alignment horizontal="left" vertical="center"/>
    </xf>
    <xf numFmtId="0" fontId="12" fillId="25" borderId="176" applyNumberFormat="0" applyProtection="0">
      <alignment horizontal="left" vertical="center"/>
    </xf>
    <xf numFmtId="0" fontId="12" fillId="25" borderId="197" applyNumberFormat="0" applyProtection="0">
      <alignment horizontal="left" vertical="center"/>
    </xf>
    <xf numFmtId="0" fontId="12" fillId="25" borderId="197" applyNumberFormat="0" applyProtection="0">
      <alignment horizontal="left" vertical="center"/>
    </xf>
    <xf numFmtId="0" fontId="12" fillId="61" borderId="407" applyNumberFormat="0">
      <alignment horizontal="left" vertical="center"/>
    </xf>
    <xf numFmtId="0" fontId="12" fillId="60" borderId="407" applyNumberFormat="0">
      <alignment horizontal="centerContinuous" vertical="center" wrapText="1"/>
    </xf>
    <xf numFmtId="0" fontId="12" fillId="25" borderId="212" applyNumberFormat="0" applyProtection="0">
      <alignment horizontal="left" vertical="center"/>
    </xf>
    <xf numFmtId="0" fontId="12" fillId="25" borderId="212" applyNumberFormat="0" applyProtection="0">
      <alignment horizontal="left" vertical="center"/>
    </xf>
    <xf numFmtId="0" fontId="12" fillId="61" borderId="437" applyNumberFormat="0">
      <alignment horizontal="left" vertical="center"/>
    </xf>
    <xf numFmtId="0" fontId="12" fillId="60" borderId="437" applyNumberFormat="0">
      <alignment horizontal="centerContinuous" vertical="center" wrapText="1"/>
    </xf>
    <xf numFmtId="0" fontId="17" fillId="21" borderId="437" applyNumberFormat="0" applyAlignment="0" applyProtection="0"/>
    <xf numFmtId="0" fontId="25" fillId="8" borderId="437" applyNumberFormat="0" applyAlignment="0" applyProtection="0"/>
    <xf numFmtId="0" fontId="12" fillId="61" borderId="449" applyNumberFormat="0">
      <alignment horizontal="left" vertical="center"/>
    </xf>
    <xf numFmtId="229" fontId="81" fillId="65" borderId="223" applyFont="0" applyFill="0" applyBorder="0" applyAlignment="0" applyProtection="0"/>
    <xf numFmtId="0" fontId="12" fillId="60" borderId="449" applyNumberFormat="0">
      <alignment horizontal="centerContinuous" vertical="center" wrapText="1"/>
    </xf>
    <xf numFmtId="0" fontId="12" fillId="25" borderId="148" applyNumberFormat="0" applyProtection="0">
      <alignment horizontal="left" vertical="center"/>
    </xf>
    <xf numFmtId="0" fontId="12" fillId="25" borderId="148" applyNumberFormat="0" applyProtection="0">
      <alignment horizontal="left" vertical="center"/>
    </xf>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2" fillId="61" borderId="474" applyNumberFormat="0">
      <alignment horizontal="left" vertical="center"/>
    </xf>
    <xf numFmtId="0" fontId="12" fillId="60" borderId="474" applyNumberFormat="0">
      <alignment horizontal="centerContinuous" vertical="center" wrapText="1"/>
    </xf>
    <xf numFmtId="0" fontId="12" fillId="25" borderId="232" applyNumberFormat="0" applyProtection="0">
      <alignment horizontal="left" vertical="center"/>
    </xf>
    <xf numFmtId="0" fontId="30" fillId="0" borderId="228" applyNumberFormat="0" applyFill="0" applyAlignment="0" applyProtection="0"/>
    <xf numFmtId="0" fontId="28" fillId="21" borderId="227"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5" fillId="8" borderId="225" applyNumberFormat="0" applyAlignment="0" applyProtection="0"/>
    <xf numFmtId="0" fontId="17" fillId="21" borderId="225" applyNumberFormat="0" applyAlignment="0" applyProtection="0"/>
    <xf numFmtId="0" fontId="30" fillId="0" borderId="228" applyNumberFormat="0" applyFill="0" applyAlignment="0" applyProtection="0"/>
    <xf numFmtId="0" fontId="28" fillId="21" borderId="227"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5" fillId="8" borderId="225" applyNumberFormat="0" applyAlignment="0" applyProtection="0"/>
    <xf numFmtId="0" fontId="17" fillId="21" borderId="225" applyNumberFormat="0" applyAlignment="0" applyProtection="0"/>
    <xf numFmtId="0" fontId="12" fillId="25" borderId="232" applyNumberFormat="0" applyProtection="0">
      <alignment horizontal="left" vertical="center"/>
    </xf>
    <xf numFmtId="0" fontId="17" fillId="21" borderId="177" applyNumberFormat="0" applyAlignment="0" applyProtection="0"/>
    <xf numFmtId="0" fontId="25" fillId="8" borderId="177" applyNumberFormat="0" applyAlignment="0" applyProtection="0"/>
    <xf numFmtId="0" fontId="12" fillId="24" borderId="178" applyNumberFormat="0" applyFont="0" applyAlignment="0" applyProtection="0"/>
    <xf numFmtId="0" fontId="12" fillId="24" borderId="178" applyNumberFormat="0" applyFont="0" applyAlignment="0" applyProtection="0"/>
    <xf numFmtId="0" fontId="28" fillId="21" borderId="179" applyNumberFormat="0" applyAlignment="0" applyProtection="0"/>
    <xf numFmtId="0" fontId="30" fillId="0" borderId="180" applyNumberFormat="0" applyFill="0" applyAlignment="0" applyProtection="0"/>
    <xf numFmtId="0" fontId="17" fillId="21" borderId="177" applyNumberFormat="0" applyAlignment="0" applyProtection="0"/>
    <xf numFmtId="0" fontId="25" fillId="8" borderId="177" applyNumberFormat="0" applyAlignment="0" applyProtection="0"/>
    <xf numFmtId="0" fontId="12" fillId="24" borderId="178" applyNumberFormat="0" applyFont="0" applyAlignment="0" applyProtection="0"/>
    <xf numFmtId="0" fontId="12" fillId="24" borderId="178" applyNumberFormat="0" applyFont="0" applyAlignment="0" applyProtection="0"/>
    <xf numFmtId="0" fontId="28" fillId="21" borderId="179" applyNumberFormat="0" applyAlignment="0" applyProtection="0"/>
    <xf numFmtId="0" fontId="30" fillId="0" borderId="180" applyNumberFormat="0" applyFill="0" applyAlignment="0" applyProtection="0"/>
    <xf numFmtId="0" fontId="12" fillId="25" borderId="176" applyNumberFormat="0" applyProtection="0">
      <alignment horizontal="left" vertical="center"/>
    </xf>
    <xf numFmtId="0" fontId="12" fillId="25" borderId="176" applyNumberFormat="0" applyProtection="0">
      <alignment horizontal="left" vertical="center"/>
    </xf>
    <xf numFmtId="0" fontId="17" fillId="21" borderId="177" applyNumberFormat="0" applyAlignment="0" applyProtection="0"/>
    <xf numFmtId="0" fontId="25" fillId="8" borderId="177" applyNumberFormat="0" applyAlignment="0" applyProtection="0"/>
    <xf numFmtId="0" fontId="12" fillId="24" borderId="178" applyNumberFormat="0" applyFont="0" applyAlignment="0" applyProtection="0"/>
    <xf numFmtId="0" fontId="12" fillId="24" borderId="178" applyNumberFormat="0" applyFont="0" applyAlignment="0" applyProtection="0"/>
    <xf numFmtId="0" fontId="28" fillId="21" borderId="179" applyNumberFormat="0" applyAlignment="0" applyProtection="0"/>
    <xf numFmtId="0" fontId="30" fillId="0" borderId="180" applyNumberFormat="0" applyFill="0" applyAlignment="0" applyProtection="0"/>
    <xf numFmtId="0" fontId="17" fillId="21" borderId="177" applyNumberFormat="0" applyAlignment="0" applyProtection="0"/>
    <xf numFmtId="0" fontId="25" fillId="8" borderId="177" applyNumberFormat="0" applyAlignment="0" applyProtection="0"/>
    <xf numFmtId="0" fontId="12" fillId="24" borderId="178" applyNumberFormat="0" applyFont="0" applyAlignment="0" applyProtection="0"/>
    <xf numFmtId="0" fontId="12" fillId="24" borderId="178" applyNumberFormat="0" applyFont="0" applyAlignment="0" applyProtection="0"/>
    <xf numFmtId="0" fontId="28" fillId="21" borderId="179" applyNumberFormat="0" applyAlignment="0" applyProtection="0"/>
    <xf numFmtId="0" fontId="30" fillId="0" borderId="180" applyNumberFormat="0" applyFill="0" applyAlignment="0" applyProtection="0"/>
    <xf numFmtId="0" fontId="12" fillId="25" borderId="241" applyNumberFormat="0" applyProtection="0">
      <alignment horizontal="left" vertical="center"/>
    </xf>
    <xf numFmtId="0" fontId="30" fillId="0" borderId="228" applyNumberFormat="0" applyFill="0" applyAlignment="0" applyProtection="0"/>
    <xf numFmtId="0" fontId="28" fillId="21" borderId="227"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5" fillId="8" borderId="225" applyNumberFormat="0" applyAlignment="0" applyProtection="0"/>
    <xf numFmtId="0" fontId="17" fillId="21" borderId="225" applyNumberFormat="0" applyAlignment="0" applyProtection="0"/>
    <xf numFmtId="0" fontId="12" fillId="25" borderId="241" applyNumberFormat="0" applyProtection="0">
      <alignment horizontal="left" vertical="center"/>
    </xf>
    <xf numFmtId="0" fontId="30" fillId="0" borderId="228" applyNumberFormat="0" applyFill="0" applyAlignment="0" applyProtection="0"/>
    <xf numFmtId="0" fontId="12" fillId="61" borderId="460" applyNumberFormat="0">
      <alignment horizontal="left" vertical="center"/>
    </xf>
    <xf numFmtId="0" fontId="12" fillId="60" borderId="460" applyNumberFormat="0">
      <alignment horizontal="centerContinuous" vertical="center" wrapText="1"/>
    </xf>
    <xf numFmtId="0" fontId="28" fillId="21" borderId="227"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5" fillId="8" borderId="225" applyNumberFormat="0" applyAlignment="0" applyProtection="0"/>
    <xf numFmtId="0" fontId="17" fillId="21" borderId="225" applyNumberFormat="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2" fillId="25" borderId="197" applyNumberFormat="0" applyProtection="0">
      <alignment horizontal="left" vertical="center"/>
    </xf>
    <xf numFmtId="0" fontId="12" fillId="25" borderId="197" applyNumberFormat="0" applyProtection="0">
      <alignment horizontal="left" vertical="center"/>
    </xf>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2" fillId="25" borderId="255" applyNumberFormat="0" applyProtection="0">
      <alignment horizontal="left" vertical="center"/>
    </xf>
    <xf numFmtId="0" fontId="12" fillId="25" borderId="255" applyNumberFormat="0" applyProtection="0">
      <alignment horizontal="left" vertical="center"/>
    </xf>
    <xf numFmtId="0" fontId="17" fillId="21" borderId="213" applyNumberFormat="0" applyAlignment="0" applyProtection="0"/>
    <xf numFmtId="0" fontId="25" fillId="8" borderId="213"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15" applyNumberFormat="0" applyAlignment="0" applyProtection="0"/>
    <xf numFmtId="0" fontId="30" fillId="0" borderId="216" applyNumberFormat="0" applyFill="0" applyAlignment="0" applyProtection="0"/>
    <xf numFmtId="0" fontId="17" fillId="21" borderId="213" applyNumberFormat="0" applyAlignment="0" applyProtection="0"/>
    <xf numFmtId="0" fontId="25" fillId="8" borderId="213"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15" applyNumberFormat="0" applyAlignment="0" applyProtection="0"/>
    <xf numFmtId="0" fontId="30" fillId="0" borderId="216" applyNumberFormat="0" applyFill="0" applyAlignment="0" applyProtection="0"/>
    <xf numFmtId="0" fontId="12" fillId="25" borderId="212" applyNumberFormat="0" applyProtection="0">
      <alignment horizontal="left" vertical="center"/>
    </xf>
    <xf numFmtId="0" fontId="12" fillId="25" borderId="212" applyNumberFormat="0" applyProtection="0">
      <alignment horizontal="left" vertical="center"/>
    </xf>
    <xf numFmtId="0" fontId="17" fillId="21" borderId="213" applyNumberFormat="0" applyAlignment="0" applyProtection="0"/>
    <xf numFmtId="0" fontId="25" fillId="8" borderId="213"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15" applyNumberFormat="0" applyAlignment="0" applyProtection="0"/>
    <xf numFmtId="0" fontId="30" fillId="0" borderId="216" applyNumberFormat="0" applyFill="0" applyAlignment="0" applyProtection="0"/>
    <xf numFmtId="0" fontId="17" fillId="21" borderId="213" applyNumberFormat="0" applyAlignment="0" applyProtection="0"/>
    <xf numFmtId="0" fontId="25" fillId="8" borderId="213"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15" applyNumberFormat="0" applyAlignment="0" applyProtection="0"/>
    <xf numFmtId="0" fontId="30" fillId="0" borderId="216" applyNumberFormat="0" applyFill="0" applyAlignment="0" applyProtection="0"/>
    <xf numFmtId="0" fontId="12" fillId="25" borderId="265" applyNumberFormat="0" applyProtection="0">
      <alignment horizontal="left" vertical="center"/>
    </xf>
    <xf numFmtId="0" fontId="12" fillId="25" borderId="265" applyNumberFormat="0" applyProtection="0">
      <alignment horizontal="left" vertical="center"/>
    </xf>
    <xf numFmtId="0" fontId="12" fillId="25" borderId="286" applyNumberFormat="0" applyProtection="0">
      <alignment horizontal="left" vertical="center"/>
    </xf>
    <xf numFmtId="0" fontId="12" fillId="25" borderId="286" applyNumberFormat="0" applyProtection="0">
      <alignment horizontal="left" vertical="center"/>
    </xf>
    <xf numFmtId="0" fontId="12" fillId="25" borderId="304" applyNumberFormat="0" applyProtection="0">
      <alignment horizontal="left" vertical="center"/>
    </xf>
    <xf numFmtId="0" fontId="12" fillId="25" borderId="304" applyNumberFormat="0" applyProtection="0">
      <alignment horizontal="left" vertical="center"/>
    </xf>
    <xf numFmtId="0" fontId="12" fillId="24" borderId="226" applyNumberFormat="0" applyFont="0" applyAlignment="0" applyProtection="0"/>
    <xf numFmtId="0" fontId="28" fillId="21" borderId="227" applyNumberFormat="0" applyAlignment="0" applyProtection="0"/>
    <xf numFmtId="0" fontId="30" fillId="0" borderId="228" applyNumberFormat="0" applyFill="0" applyAlignment="0" applyProtection="0"/>
    <xf numFmtId="0" fontId="17" fillId="21" borderId="225" applyNumberFormat="0" applyAlignment="0" applyProtection="0"/>
    <xf numFmtId="0" fontId="25" fillId="8" borderId="225"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8" fillId="21" borderId="227" applyNumberFormat="0" applyAlignment="0" applyProtection="0"/>
    <xf numFmtId="0" fontId="30" fillId="0" borderId="228" applyNumberFormat="0" applyFill="0" applyAlignment="0" applyProtection="0"/>
    <xf numFmtId="0" fontId="30" fillId="0" borderId="295" applyNumberFormat="0" applyFill="0" applyAlignment="0" applyProtection="0"/>
    <xf numFmtId="0" fontId="28" fillId="21" borderId="294" applyNumberFormat="0" applyAlignment="0" applyProtection="0"/>
    <xf numFmtId="0" fontId="12" fillId="24" borderId="293" applyNumberFormat="0" applyFont="0" applyAlignment="0" applyProtection="0"/>
    <xf numFmtId="0" fontId="12" fillId="24" borderId="293" applyNumberFormat="0" applyFont="0" applyAlignment="0" applyProtection="0"/>
    <xf numFmtId="0" fontId="25" fillId="8" borderId="292" applyNumberFormat="0" applyAlignment="0" applyProtection="0"/>
    <xf numFmtId="0" fontId="17" fillId="21" borderId="292" applyNumberFormat="0" applyAlignment="0" applyProtection="0"/>
    <xf numFmtId="0" fontId="30" fillId="0" borderId="295" applyNumberFormat="0" applyFill="0" applyAlignment="0" applyProtection="0"/>
    <xf numFmtId="0" fontId="28" fillId="21" borderId="294" applyNumberFormat="0" applyAlignment="0" applyProtection="0"/>
    <xf numFmtId="0" fontId="12" fillId="24" borderId="293" applyNumberFormat="0" applyFont="0" applyAlignment="0" applyProtection="0"/>
    <xf numFmtId="0" fontId="12" fillId="24" borderId="293" applyNumberFormat="0" applyFont="0" applyAlignment="0" applyProtection="0"/>
    <xf numFmtId="0" fontId="25" fillId="8" borderId="292" applyNumberFormat="0" applyAlignment="0" applyProtection="0"/>
    <xf numFmtId="0" fontId="17" fillId="21" borderId="292" applyNumberFormat="0" applyAlignment="0" applyProtection="0"/>
    <xf numFmtId="0" fontId="30" fillId="0" borderId="295" applyNumberFormat="0" applyFill="0" applyAlignment="0" applyProtection="0"/>
    <xf numFmtId="0" fontId="28" fillId="21" borderId="294" applyNumberFormat="0" applyAlignment="0" applyProtection="0"/>
    <xf numFmtId="0" fontId="12" fillId="24" borderId="293" applyNumberFormat="0" applyFont="0" applyAlignment="0" applyProtection="0"/>
    <xf numFmtId="0" fontId="12" fillId="24" borderId="293" applyNumberFormat="0" applyFont="0" applyAlignment="0" applyProtection="0"/>
    <xf numFmtId="0" fontId="25" fillId="8" borderId="292" applyNumberFormat="0" applyAlignment="0" applyProtection="0"/>
    <xf numFmtId="0" fontId="17" fillId="21" borderId="292" applyNumberFormat="0" applyAlignment="0" applyProtection="0"/>
    <xf numFmtId="0" fontId="30" fillId="0" borderId="295" applyNumberFormat="0" applyFill="0" applyAlignment="0" applyProtection="0"/>
    <xf numFmtId="0" fontId="28" fillId="21" borderId="294" applyNumberFormat="0" applyAlignment="0" applyProtection="0"/>
    <xf numFmtId="0" fontId="12" fillId="24" borderId="293" applyNumberFormat="0" applyFont="0" applyAlignment="0" applyProtection="0"/>
    <xf numFmtId="0" fontId="12" fillId="24" borderId="293" applyNumberFormat="0" applyFont="0" applyAlignment="0" applyProtection="0"/>
    <xf numFmtId="0" fontId="17" fillId="21" borderId="242" applyNumberFormat="0" applyAlignment="0" applyProtection="0"/>
    <xf numFmtId="0" fontId="25" fillId="8" borderId="242" applyNumberFormat="0" applyAlignment="0" applyProtection="0"/>
    <xf numFmtId="0" fontId="12" fillId="24" borderId="243" applyNumberFormat="0" applyFont="0" applyAlignment="0" applyProtection="0"/>
    <xf numFmtId="0" fontId="12" fillId="24" borderId="243" applyNumberFormat="0" applyFont="0" applyAlignment="0" applyProtection="0"/>
    <xf numFmtId="0" fontId="28" fillId="21" borderId="244" applyNumberFormat="0" applyAlignment="0" applyProtection="0"/>
    <xf numFmtId="0" fontId="30" fillId="0" borderId="245" applyNumberFormat="0" applyFill="0" applyAlignment="0" applyProtection="0"/>
    <xf numFmtId="0" fontId="17" fillId="21" borderId="242" applyNumberFormat="0" applyAlignment="0" applyProtection="0"/>
    <xf numFmtId="0" fontId="25" fillId="8" borderId="242" applyNumberFormat="0" applyAlignment="0" applyProtection="0"/>
    <xf numFmtId="0" fontId="12" fillId="24" borderId="243" applyNumberFormat="0" applyFont="0" applyAlignment="0" applyProtection="0"/>
    <xf numFmtId="0" fontId="12" fillId="24" borderId="243" applyNumberFormat="0" applyFont="0" applyAlignment="0" applyProtection="0"/>
    <xf numFmtId="0" fontId="28" fillId="21" borderId="244" applyNumberFormat="0" applyAlignment="0" applyProtection="0"/>
    <xf numFmtId="0" fontId="30" fillId="0" borderId="245" applyNumberFormat="0" applyFill="0" applyAlignment="0" applyProtection="0"/>
    <xf numFmtId="0" fontId="12" fillId="25" borderId="241" applyNumberFormat="0" applyProtection="0">
      <alignment horizontal="left" vertical="center"/>
    </xf>
    <xf numFmtId="0" fontId="12" fillId="25" borderId="241" applyNumberFormat="0" applyProtection="0">
      <alignment horizontal="left" vertical="center"/>
    </xf>
    <xf numFmtId="0" fontId="17" fillId="21" borderId="242" applyNumberFormat="0" applyAlignment="0" applyProtection="0"/>
    <xf numFmtId="0" fontId="25" fillId="8" borderId="242" applyNumberFormat="0" applyAlignment="0" applyProtection="0"/>
    <xf numFmtId="0" fontId="12" fillId="24" borderId="243" applyNumberFormat="0" applyFont="0" applyAlignment="0" applyProtection="0"/>
    <xf numFmtId="0" fontId="12" fillId="24" borderId="243" applyNumberFormat="0" applyFont="0" applyAlignment="0" applyProtection="0"/>
    <xf numFmtId="0" fontId="28" fillId="21" borderId="244" applyNumberFormat="0" applyAlignment="0" applyProtection="0"/>
    <xf numFmtId="0" fontId="30" fillId="0" borderId="245" applyNumberFormat="0" applyFill="0" applyAlignment="0" applyProtection="0"/>
    <xf numFmtId="0" fontId="17" fillId="21" borderId="242" applyNumberFormat="0" applyAlignment="0" applyProtection="0"/>
    <xf numFmtId="0" fontId="25" fillId="8" borderId="242" applyNumberFormat="0" applyAlignment="0" applyProtection="0"/>
    <xf numFmtId="0" fontId="12" fillId="24" borderId="243" applyNumberFormat="0" applyFont="0" applyAlignment="0" applyProtection="0"/>
    <xf numFmtId="0" fontId="12" fillId="24" borderId="243" applyNumberFormat="0" applyFont="0" applyAlignment="0" applyProtection="0"/>
    <xf numFmtId="0" fontId="28" fillId="21" borderId="244" applyNumberFormat="0" applyAlignment="0" applyProtection="0"/>
    <xf numFmtId="0" fontId="30" fillId="0" borderId="245" applyNumberFormat="0" applyFill="0" applyAlignment="0" applyProtection="0"/>
    <xf numFmtId="0" fontId="12" fillId="25" borderId="313" applyNumberFormat="0" applyProtection="0">
      <alignment horizontal="left" vertical="center"/>
    </xf>
    <xf numFmtId="0" fontId="12" fillId="25" borderId="313" applyNumberFormat="0" applyProtection="0">
      <alignment horizontal="left" vertical="center"/>
    </xf>
    <xf numFmtId="0" fontId="25" fillId="8" borderId="292" applyNumberFormat="0" applyAlignment="0" applyProtection="0"/>
    <xf numFmtId="0" fontId="17" fillId="21" borderId="292" applyNumberFormat="0" applyAlignment="0" applyProtection="0"/>
    <xf numFmtId="0" fontId="12" fillId="25" borderId="329" applyNumberFormat="0" applyProtection="0">
      <alignment horizontal="left" vertical="center"/>
    </xf>
    <xf numFmtId="0" fontId="12" fillId="25" borderId="329" applyNumberFormat="0" applyProtection="0">
      <alignment horizontal="left" vertical="center"/>
    </xf>
    <xf numFmtId="0" fontId="12" fillId="25" borderId="255" applyNumberFormat="0" applyProtection="0">
      <alignment horizontal="left" vertical="center"/>
    </xf>
    <xf numFmtId="0" fontId="12" fillId="25" borderId="255" applyNumberFormat="0" applyProtection="0">
      <alignment horizontal="left" vertical="center"/>
    </xf>
    <xf numFmtId="0" fontId="30" fillId="0" borderId="317" applyNumberFormat="0" applyFill="0" applyAlignment="0" applyProtection="0"/>
    <xf numFmtId="0" fontId="28" fillId="21" borderId="316" applyNumberFormat="0" applyAlignment="0" applyProtection="0"/>
    <xf numFmtId="0" fontId="12" fillId="24" borderId="315" applyNumberFormat="0" applyFont="0" applyAlignment="0" applyProtection="0"/>
    <xf numFmtId="0" fontId="12" fillId="24" borderId="315" applyNumberFormat="0" applyFont="0" applyAlignment="0" applyProtection="0"/>
    <xf numFmtId="0" fontId="25" fillId="8" borderId="314" applyNumberFormat="0" applyAlignment="0" applyProtection="0"/>
    <xf numFmtId="0" fontId="17" fillId="21" borderId="314" applyNumberFormat="0" applyAlignment="0" applyProtection="0"/>
    <xf numFmtId="0" fontId="30" fillId="0" borderId="317" applyNumberFormat="0" applyFill="0" applyAlignment="0" applyProtection="0"/>
    <xf numFmtId="0" fontId="28" fillId="21" borderId="316" applyNumberFormat="0" applyAlignment="0" applyProtection="0"/>
    <xf numFmtId="0" fontId="12" fillId="24" borderId="315" applyNumberFormat="0" applyFont="0" applyAlignment="0" applyProtection="0"/>
    <xf numFmtId="0" fontId="12" fillId="24" borderId="315" applyNumberFormat="0" applyFont="0" applyAlignment="0" applyProtection="0"/>
    <xf numFmtId="0" fontId="25" fillId="8" borderId="314" applyNumberFormat="0" applyAlignment="0" applyProtection="0"/>
    <xf numFmtId="0" fontId="17" fillId="21" borderId="314" applyNumberFormat="0" applyAlignment="0" applyProtection="0"/>
    <xf numFmtId="0" fontId="12" fillId="25" borderId="265" applyNumberFormat="0" applyProtection="0">
      <alignment horizontal="left" vertical="center"/>
    </xf>
    <xf numFmtId="0" fontId="17" fillId="21" borderId="267" applyNumberFormat="0" applyAlignment="0" applyProtection="0"/>
    <xf numFmtId="0" fontId="25" fillId="8" borderId="267" applyNumberFormat="0" applyAlignment="0" applyProtection="0"/>
    <xf numFmtId="0" fontId="28" fillId="21" borderId="268" applyNumberFormat="0" applyAlignment="0" applyProtection="0"/>
    <xf numFmtId="0" fontId="30" fillId="0" borderId="269" applyNumberFormat="0" applyFill="0" applyAlignment="0" applyProtection="0"/>
    <xf numFmtId="0" fontId="17" fillId="21" borderId="267" applyNumberFormat="0" applyAlignment="0" applyProtection="0"/>
    <xf numFmtId="0" fontId="25" fillId="8" borderId="267" applyNumberFormat="0" applyAlignment="0" applyProtection="0"/>
    <xf numFmtId="0" fontId="28" fillId="21" borderId="268" applyNumberFormat="0" applyAlignment="0" applyProtection="0"/>
    <xf numFmtId="0" fontId="30" fillId="0" borderId="269" applyNumberFormat="0" applyFill="0" applyAlignment="0" applyProtection="0"/>
    <xf numFmtId="0" fontId="17" fillId="21" borderId="287" applyNumberFormat="0" applyAlignment="0" applyProtection="0"/>
    <xf numFmtId="0" fontId="30" fillId="0" borderId="317" applyNumberFormat="0" applyFill="0" applyAlignment="0" applyProtection="0"/>
    <xf numFmtId="0" fontId="25" fillId="8" borderId="287" applyNumberFormat="0" applyAlignment="0" applyProtection="0"/>
    <xf numFmtId="0" fontId="12" fillId="24" borderId="288" applyNumberFormat="0" applyFont="0" applyAlignment="0" applyProtection="0"/>
    <xf numFmtId="0" fontId="12" fillId="24" borderId="28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287" applyNumberFormat="0" applyAlignment="0" applyProtection="0"/>
    <xf numFmtId="0" fontId="25" fillId="8" borderId="287" applyNumberFormat="0" applyAlignment="0" applyProtection="0"/>
    <xf numFmtId="0" fontId="12" fillId="24" borderId="288" applyNumberFormat="0" applyFont="0" applyAlignment="0" applyProtection="0"/>
    <xf numFmtId="0" fontId="12" fillId="24" borderId="28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2" fillId="25" borderId="286" applyNumberFormat="0" applyProtection="0">
      <alignment horizontal="left" vertical="center"/>
    </xf>
    <xf numFmtId="0" fontId="12" fillId="25" borderId="286" applyNumberFormat="0" applyProtection="0">
      <alignment horizontal="left" vertical="center"/>
    </xf>
    <xf numFmtId="0" fontId="17" fillId="21" borderId="287" applyNumberFormat="0" applyAlignment="0" applyProtection="0"/>
    <xf numFmtId="0" fontId="25" fillId="8" borderId="287" applyNumberFormat="0" applyAlignment="0" applyProtection="0"/>
    <xf numFmtId="0" fontId="12" fillId="24" borderId="288" applyNumberFormat="0" applyFont="0" applyAlignment="0" applyProtection="0"/>
    <xf numFmtId="0" fontId="12" fillId="24" borderId="28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287" applyNumberFormat="0" applyAlignment="0" applyProtection="0"/>
    <xf numFmtId="0" fontId="25" fillId="8" borderId="287" applyNumberFormat="0" applyAlignment="0" applyProtection="0"/>
    <xf numFmtId="0" fontId="12" fillId="24" borderId="288" applyNumberFormat="0" applyFont="0" applyAlignment="0" applyProtection="0"/>
    <xf numFmtId="0" fontId="12" fillId="24" borderId="28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28" fillId="21" borderId="316" applyNumberFormat="0" applyAlignment="0" applyProtection="0"/>
    <xf numFmtId="0" fontId="12" fillId="24" borderId="315" applyNumberFormat="0" applyFont="0" applyAlignment="0" applyProtection="0"/>
    <xf numFmtId="0" fontId="12" fillId="24" borderId="315" applyNumberFormat="0" applyFont="0" applyAlignment="0" applyProtection="0"/>
    <xf numFmtId="0" fontId="25" fillId="8" borderId="314" applyNumberFormat="0" applyAlignment="0" applyProtection="0"/>
    <xf numFmtId="0" fontId="17" fillId="21" borderId="314" applyNumberFormat="0" applyAlignment="0" applyProtection="0"/>
    <xf numFmtId="0" fontId="30" fillId="0" borderId="317" applyNumberFormat="0" applyFill="0" applyAlignment="0" applyProtection="0"/>
    <xf numFmtId="0" fontId="28" fillId="21" borderId="316" applyNumberFormat="0" applyAlignment="0" applyProtection="0"/>
    <xf numFmtId="0" fontId="12" fillId="24" borderId="315" applyNumberFormat="0" applyFont="0" applyAlignment="0" applyProtection="0"/>
    <xf numFmtId="0" fontId="12" fillId="24" borderId="315" applyNumberFormat="0" applyFont="0" applyAlignment="0" applyProtection="0"/>
    <xf numFmtId="0" fontId="25" fillId="8" borderId="314" applyNumberFormat="0" applyAlignment="0" applyProtection="0"/>
    <xf numFmtId="0" fontId="17" fillId="21" borderId="314" applyNumberFormat="0" applyAlignment="0" applyProtection="0"/>
    <xf numFmtId="0" fontId="17" fillId="21" borderId="305" applyNumberFormat="0" applyAlignment="0" applyProtection="0"/>
    <xf numFmtId="0" fontId="25" fillId="8" borderId="305" applyNumberFormat="0" applyAlignment="0" applyProtection="0"/>
    <xf numFmtId="0" fontId="12" fillId="24" borderId="306" applyNumberFormat="0" applyFont="0" applyAlignment="0" applyProtection="0"/>
    <xf numFmtId="0" fontId="12" fillId="24" borderId="306" applyNumberFormat="0" applyFont="0" applyAlignment="0" applyProtection="0"/>
    <xf numFmtId="0" fontId="28" fillId="21" borderId="307" applyNumberFormat="0" applyAlignment="0" applyProtection="0"/>
    <xf numFmtId="0" fontId="30" fillId="0" borderId="308" applyNumberFormat="0" applyFill="0" applyAlignment="0" applyProtection="0"/>
    <xf numFmtId="0" fontId="17" fillId="21" borderId="305" applyNumberFormat="0" applyAlignment="0" applyProtection="0"/>
    <xf numFmtId="0" fontId="25" fillId="8" borderId="305" applyNumberFormat="0" applyAlignment="0" applyProtection="0"/>
    <xf numFmtId="0" fontId="12" fillId="24" borderId="306" applyNumberFormat="0" applyFont="0" applyAlignment="0" applyProtection="0"/>
    <xf numFmtId="0" fontId="12" fillId="24" borderId="306" applyNumberFormat="0" applyFont="0" applyAlignment="0" applyProtection="0"/>
    <xf numFmtId="0" fontId="28" fillId="21" borderId="307" applyNumberFormat="0" applyAlignment="0" applyProtection="0"/>
    <xf numFmtId="0" fontId="30" fillId="0" borderId="308" applyNumberFormat="0" applyFill="0" applyAlignment="0" applyProtection="0"/>
    <xf numFmtId="0" fontId="12" fillId="25" borderId="304" applyNumberFormat="0" applyProtection="0">
      <alignment horizontal="left" vertical="center"/>
    </xf>
    <xf numFmtId="0" fontId="12" fillId="25" borderId="304" applyNumberFormat="0" applyProtection="0">
      <alignment horizontal="left" vertical="center"/>
    </xf>
    <xf numFmtId="0" fontId="17" fillId="21" borderId="305" applyNumberFormat="0" applyAlignment="0" applyProtection="0"/>
    <xf numFmtId="0" fontId="25" fillId="8" borderId="305" applyNumberFormat="0" applyAlignment="0" applyProtection="0"/>
    <xf numFmtId="0" fontId="12" fillId="24" borderId="306" applyNumberFormat="0" applyFont="0" applyAlignment="0" applyProtection="0"/>
    <xf numFmtId="0" fontId="12" fillId="24" borderId="306" applyNumberFormat="0" applyFont="0" applyAlignment="0" applyProtection="0"/>
    <xf numFmtId="0" fontId="28" fillId="21" borderId="307" applyNumberFormat="0" applyAlignment="0" applyProtection="0"/>
    <xf numFmtId="0" fontId="30" fillId="0" borderId="308" applyNumberFormat="0" applyFill="0" applyAlignment="0" applyProtection="0"/>
    <xf numFmtId="0" fontId="17" fillId="21" borderId="305" applyNumberFormat="0" applyAlignment="0" applyProtection="0"/>
    <xf numFmtId="0" fontId="25" fillId="8" borderId="305" applyNumberFormat="0" applyAlignment="0" applyProtection="0"/>
    <xf numFmtId="0" fontId="12" fillId="24" borderId="306" applyNumberFormat="0" applyFont="0" applyAlignment="0" applyProtection="0"/>
    <xf numFmtId="0" fontId="12" fillId="24" borderId="306" applyNumberFormat="0" applyFont="0" applyAlignment="0" applyProtection="0"/>
    <xf numFmtId="0" fontId="28" fillId="21" borderId="307" applyNumberFormat="0" applyAlignment="0" applyProtection="0"/>
    <xf numFmtId="0" fontId="30" fillId="0" borderId="308" applyNumberFormat="0" applyFill="0" applyAlignment="0" applyProtection="0"/>
    <xf numFmtId="0" fontId="30" fillId="0" borderId="337" applyNumberFormat="0" applyFill="0" applyAlignment="0" applyProtection="0"/>
    <xf numFmtId="0" fontId="28" fillId="21" borderId="336"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5" fillId="8" borderId="334" applyNumberFormat="0" applyAlignment="0" applyProtection="0"/>
    <xf numFmtId="0" fontId="17" fillId="21" borderId="334" applyNumberFormat="0" applyAlignment="0" applyProtection="0"/>
    <xf numFmtId="0" fontId="30" fillId="0" borderId="337" applyNumberFormat="0" applyFill="0" applyAlignment="0" applyProtection="0"/>
    <xf numFmtId="0" fontId="28" fillId="21" borderId="336"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5" fillId="8" borderId="334" applyNumberFormat="0" applyAlignment="0" applyProtection="0"/>
    <xf numFmtId="0" fontId="17" fillId="21" borderId="334" applyNumberFormat="0" applyAlignment="0" applyProtection="0"/>
    <xf numFmtId="0" fontId="30" fillId="0" borderId="337" applyNumberFormat="0" applyFill="0" applyAlignment="0" applyProtection="0"/>
    <xf numFmtId="0" fontId="28" fillId="21" borderId="336"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5" fillId="8" borderId="334" applyNumberFormat="0" applyAlignment="0" applyProtection="0"/>
    <xf numFmtId="0" fontId="17" fillId="21" borderId="334" applyNumberFormat="0" applyAlignment="0" applyProtection="0"/>
    <xf numFmtId="0" fontId="30" fillId="0" borderId="337" applyNumberFormat="0" applyFill="0" applyAlignment="0" applyProtection="0"/>
    <xf numFmtId="0" fontId="28" fillId="21" borderId="336"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5" fillId="8" borderId="334" applyNumberFormat="0" applyAlignment="0" applyProtection="0"/>
    <xf numFmtId="0" fontId="17" fillId="21" borderId="334" applyNumberFormat="0" applyAlignment="0" applyProtection="0"/>
    <xf numFmtId="0" fontId="12" fillId="25" borderId="378" applyNumberFormat="0" applyProtection="0">
      <alignment horizontal="left" vertical="center"/>
    </xf>
    <xf numFmtId="0" fontId="12" fillId="25" borderId="378" applyNumberFormat="0" applyProtection="0">
      <alignment horizontal="left" vertical="center"/>
    </xf>
    <xf numFmtId="0" fontId="83" fillId="0" borderId="385" applyNumberFormat="0" applyFont="0" applyFill="0" applyAlignment="0" applyProtection="0"/>
    <xf numFmtId="0" fontId="12" fillId="25" borderId="313" applyNumberFormat="0" applyProtection="0">
      <alignment horizontal="left" vertical="center"/>
    </xf>
    <xf numFmtId="0" fontId="12" fillId="25" borderId="313" applyNumberFormat="0" applyProtection="0">
      <alignment horizontal="left" vertical="center"/>
    </xf>
    <xf numFmtId="0" fontId="97" fillId="0" borderId="385" applyNumberFormat="0" applyFill="0" applyAlignment="0" applyProtection="0"/>
    <xf numFmtId="0" fontId="30" fillId="0" borderId="333" applyNumberFormat="0" applyFill="0" applyAlignment="0" applyProtection="0"/>
    <xf numFmtId="0" fontId="17" fillId="21" borderId="330" applyNumberFormat="0" applyAlignment="0" applyProtection="0"/>
    <xf numFmtId="0" fontId="25" fillId="8" borderId="330" applyNumberFormat="0" applyAlignment="0" applyProtection="0"/>
    <xf numFmtId="0" fontId="12" fillId="24" borderId="331" applyNumberFormat="0" applyFont="0" applyAlignment="0" applyProtection="0"/>
    <xf numFmtId="0" fontId="12" fillId="24" borderId="331" applyNumberFormat="0" applyFont="0" applyAlignment="0" applyProtection="0"/>
    <xf numFmtId="0" fontId="28" fillId="21" borderId="332" applyNumberFormat="0" applyAlignment="0" applyProtection="0"/>
    <xf numFmtId="0" fontId="30" fillId="0" borderId="333" applyNumberFormat="0" applyFill="0" applyAlignment="0" applyProtection="0"/>
    <xf numFmtId="0" fontId="25" fillId="8" borderId="386" applyNumberFormat="0" applyAlignment="0" applyProtection="0"/>
    <xf numFmtId="0" fontId="17" fillId="21" borderId="386" applyNumberFormat="0" applyAlignment="0" applyProtection="0"/>
    <xf numFmtId="0" fontId="25" fillId="8" borderId="386" applyNumberFormat="0" applyAlignment="0" applyProtection="0"/>
    <xf numFmtId="0" fontId="17" fillId="21" borderId="386" applyNumberFormat="0" applyAlignment="0" applyProtection="0"/>
    <xf numFmtId="0" fontId="25" fillId="8" borderId="386" applyNumberFormat="0" applyAlignment="0" applyProtection="0"/>
    <xf numFmtId="0" fontId="17" fillId="21" borderId="386" applyNumberFormat="0" applyAlignment="0" applyProtection="0"/>
    <xf numFmtId="0" fontId="12" fillId="25" borderId="405" applyNumberFormat="0" applyProtection="0">
      <alignment horizontal="left" vertical="center"/>
    </xf>
    <xf numFmtId="0" fontId="12" fillId="25" borderId="405" applyNumberFormat="0" applyProtection="0">
      <alignment horizontal="left" vertical="center"/>
    </xf>
    <xf numFmtId="0" fontId="17" fillId="21" borderId="334" applyNumberFormat="0" applyAlignment="0" applyProtection="0"/>
    <xf numFmtId="0" fontId="25" fillId="8" borderId="334"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8" fillId="21" borderId="336" applyNumberFormat="0" applyAlignment="0" applyProtection="0"/>
    <xf numFmtId="0" fontId="30" fillId="0" borderId="337" applyNumberFormat="0" applyFill="0" applyAlignment="0" applyProtection="0"/>
    <xf numFmtId="0" fontId="17" fillId="21" borderId="334" applyNumberFormat="0" applyAlignment="0" applyProtection="0"/>
    <xf numFmtId="0" fontId="25" fillId="8" borderId="334"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8" fillId="21" borderId="336" applyNumberFormat="0" applyAlignment="0" applyProtection="0"/>
    <xf numFmtId="0" fontId="30" fillId="0" borderId="337" applyNumberFormat="0" applyFill="0" applyAlignment="0" applyProtection="0"/>
    <xf numFmtId="0" fontId="17" fillId="21" borderId="334" applyNumberFormat="0" applyAlignment="0" applyProtection="0"/>
    <xf numFmtId="0" fontId="25" fillId="8" borderId="334"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8" fillId="21" borderId="336" applyNumberFormat="0" applyAlignment="0" applyProtection="0"/>
    <xf numFmtId="0" fontId="30" fillId="0" borderId="337" applyNumberFormat="0" applyFill="0" applyAlignment="0" applyProtection="0"/>
    <xf numFmtId="0" fontId="17" fillId="21" borderId="334" applyNumberFormat="0" applyAlignment="0" applyProtection="0"/>
    <xf numFmtId="0" fontId="25" fillId="8" borderId="334"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8" fillId="21" borderId="336" applyNumberFormat="0" applyAlignment="0" applyProtection="0"/>
    <xf numFmtId="0" fontId="30" fillId="0" borderId="337" applyNumberFormat="0" applyFill="0" applyAlignment="0" applyProtection="0"/>
    <xf numFmtId="0" fontId="25" fillId="8" borderId="386" applyNumberFormat="0" applyAlignment="0" applyProtection="0"/>
    <xf numFmtId="0" fontId="17" fillId="21" borderId="386" applyNumberFormat="0" applyAlignment="0" applyProtection="0"/>
    <xf numFmtId="0" fontId="12" fillId="25" borderId="435" applyNumberFormat="0" applyProtection="0">
      <alignment horizontal="left" vertical="center"/>
    </xf>
    <xf numFmtId="0" fontId="12" fillId="25" borderId="435" applyNumberFormat="0" applyProtection="0">
      <alignment horizontal="left" vertical="center"/>
    </xf>
    <xf numFmtId="0" fontId="30" fillId="0" borderId="383"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2" fillId="25" borderId="378" applyNumberFormat="0" applyProtection="0">
      <alignment horizontal="left" vertical="center"/>
    </xf>
    <xf numFmtId="0" fontId="12" fillId="25" borderId="378" applyNumberFormat="0" applyProtection="0">
      <alignment horizontal="left" vertical="center"/>
    </xf>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2" fillId="25" borderId="456" applyNumberFormat="0" applyProtection="0">
      <alignment horizontal="left" vertical="center"/>
    </xf>
    <xf numFmtId="0" fontId="12" fillId="25" borderId="456" applyNumberFormat="0" applyProtection="0">
      <alignment horizontal="left" vertical="center"/>
    </xf>
    <xf numFmtId="0" fontId="17" fillId="21" borderId="395" applyNumberFormat="0" applyAlignment="0" applyProtection="0"/>
    <xf numFmtId="0" fontId="25" fillId="8" borderId="395" applyNumberFormat="0" applyAlignment="0" applyProtection="0"/>
    <xf numFmtId="0" fontId="12" fillId="24" borderId="396" applyNumberFormat="0" applyFont="0" applyAlignment="0" applyProtection="0"/>
    <xf numFmtId="0" fontId="12" fillId="24" borderId="396" applyNumberFormat="0" applyFont="0" applyAlignment="0" applyProtection="0"/>
    <xf numFmtId="0" fontId="28" fillId="21" borderId="397" applyNumberFormat="0" applyAlignment="0" applyProtection="0"/>
    <xf numFmtId="0" fontId="30" fillId="0" borderId="398" applyNumberFormat="0" applyFill="0" applyAlignment="0" applyProtection="0"/>
    <xf numFmtId="0" fontId="17" fillId="21" borderId="395" applyNumberFormat="0" applyAlignment="0" applyProtection="0"/>
    <xf numFmtId="0" fontId="25" fillId="8" borderId="395" applyNumberFormat="0" applyAlignment="0" applyProtection="0"/>
    <xf numFmtId="0" fontId="12" fillId="24" borderId="396" applyNumberFormat="0" applyFont="0" applyAlignment="0" applyProtection="0"/>
    <xf numFmtId="0" fontId="12" fillId="24" borderId="396" applyNumberFormat="0" applyFont="0" applyAlignment="0" applyProtection="0"/>
    <xf numFmtId="0" fontId="28" fillId="21" borderId="397" applyNumberFormat="0" applyAlignment="0" applyProtection="0"/>
    <xf numFmtId="0" fontId="30" fillId="0" borderId="398" applyNumberFormat="0" applyFill="0" applyAlignment="0" applyProtection="0"/>
    <xf numFmtId="0" fontId="17" fillId="21" borderId="395" applyNumberFormat="0" applyAlignment="0" applyProtection="0"/>
    <xf numFmtId="0" fontId="25" fillId="8" borderId="395" applyNumberFormat="0" applyAlignment="0" applyProtection="0"/>
    <xf numFmtId="0" fontId="12" fillId="24" borderId="396" applyNumberFormat="0" applyFont="0" applyAlignment="0" applyProtection="0"/>
    <xf numFmtId="0" fontId="12" fillId="24" borderId="396" applyNumberFormat="0" applyFont="0" applyAlignment="0" applyProtection="0"/>
    <xf numFmtId="0" fontId="28" fillId="21" borderId="397" applyNumberFormat="0" applyAlignment="0" applyProtection="0"/>
    <xf numFmtId="0" fontId="30" fillId="0" borderId="398" applyNumberFormat="0" applyFill="0" applyAlignment="0" applyProtection="0"/>
    <xf numFmtId="0" fontId="17" fillId="21" borderId="395" applyNumberFormat="0" applyAlignment="0" applyProtection="0"/>
    <xf numFmtId="0" fontId="25" fillId="8" borderId="395" applyNumberFormat="0" applyAlignment="0" applyProtection="0"/>
    <xf numFmtId="0" fontId="12" fillId="24" borderId="396" applyNumberFormat="0" applyFont="0" applyAlignment="0" applyProtection="0"/>
    <xf numFmtId="0" fontId="12" fillId="24" borderId="396" applyNumberFormat="0" applyFont="0" applyAlignment="0" applyProtection="0"/>
    <xf numFmtId="0" fontId="28" fillId="21" borderId="397" applyNumberFormat="0" applyAlignment="0" applyProtection="0"/>
    <xf numFmtId="0" fontId="30" fillId="0" borderId="398" applyNumberFormat="0" applyFill="0" applyAlignment="0" applyProtection="0"/>
    <xf numFmtId="0" fontId="12" fillId="25" borderId="473" applyNumberFormat="0" applyProtection="0">
      <alignment horizontal="left" vertical="center"/>
    </xf>
    <xf numFmtId="0" fontId="12" fillId="25" borderId="473" applyNumberFormat="0" applyProtection="0">
      <alignment horizontal="left" vertical="center"/>
    </xf>
    <xf numFmtId="0" fontId="30" fillId="0" borderId="452" applyNumberFormat="0" applyFill="0" applyAlignment="0" applyProtection="0"/>
    <xf numFmtId="0" fontId="28" fillId="21" borderId="451"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25" fillId="8" borderId="449" applyNumberFormat="0" applyAlignment="0" applyProtection="0"/>
    <xf numFmtId="0" fontId="17" fillId="21" borderId="449" applyNumberFormat="0" applyAlignment="0" applyProtection="0"/>
    <xf numFmtId="0" fontId="30" fillId="0" borderId="452" applyNumberFormat="0" applyFill="0" applyAlignment="0" applyProtection="0"/>
    <xf numFmtId="0" fontId="28" fillId="21" borderId="451"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25" fillId="8" borderId="449" applyNumberFormat="0" applyAlignment="0" applyProtection="0"/>
    <xf numFmtId="0" fontId="17" fillId="21" borderId="449" applyNumberFormat="0" applyAlignment="0" applyProtection="0"/>
    <xf numFmtId="0" fontId="30" fillId="0" borderId="452" applyNumberFormat="0" applyFill="0" applyAlignment="0" applyProtection="0"/>
    <xf numFmtId="0" fontId="28" fillId="21" borderId="451"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25" fillId="8" borderId="449" applyNumberFormat="0" applyAlignment="0" applyProtection="0"/>
    <xf numFmtId="0" fontId="17" fillId="21" borderId="449" applyNumberFormat="0" applyAlignment="0" applyProtection="0"/>
    <xf numFmtId="0" fontId="30" fillId="0" borderId="452" applyNumberFormat="0" applyFill="0" applyAlignment="0" applyProtection="0"/>
    <xf numFmtId="0" fontId="28" fillId="21" borderId="451"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17" fillId="21" borderId="407" applyNumberFormat="0" applyAlignment="0" applyProtection="0"/>
    <xf numFmtId="0" fontId="25" fillId="8" borderId="407" applyNumberFormat="0" applyAlignment="0" applyProtection="0"/>
    <xf numFmtId="0" fontId="30" fillId="0" borderId="463" applyNumberFormat="0" applyFill="0" applyAlignment="0" applyProtection="0"/>
    <xf numFmtId="0" fontId="28" fillId="21" borderId="462" applyNumberFormat="0" applyAlignment="0" applyProtection="0"/>
    <xf numFmtId="0" fontId="28" fillId="21" borderId="408" applyNumberFormat="0" applyAlignment="0" applyProtection="0"/>
    <xf numFmtId="0" fontId="30" fillId="0" borderId="409" applyNumberFormat="0" applyFill="0" applyAlignment="0" applyProtection="0"/>
    <xf numFmtId="0" fontId="17" fillId="21" borderId="407" applyNumberFormat="0" applyAlignment="0" applyProtection="0"/>
    <xf numFmtId="0" fontId="25" fillId="8" borderId="407" applyNumberFormat="0" applyAlignment="0" applyProtection="0"/>
    <xf numFmtId="0" fontId="12" fillId="24" borderId="461" applyNumberFormat="0" applyFont="0" applyAlignment="0" applyProtection="0"/>
    <xf numFmtId="0" fontId="12" fillId="24" borderId="461" applyNumberFormat="0" applyFont="0" applyAlignment="0" applyProtection="0"/>
    <xf numFmtId="0" fontId="28" fillId="21" borderId="408" applyNumberFormat="0" applyAlignment="0" applyProtection="0"/>
    <xf numFmtId="0" fontId="30" fillId="0" borderId="409" applyNumberFormat="0" applyFill="0" applyAlignment="0" applyProtection="0"/>
    <xf numFmtId="0" fontId="12" fillId="25" borderId="405" applyNumberFormat="0" applyProtection="0">
      <alignment horizontal="left" vertical="center"/>
    </xf>
    <xf numFmtId="0" fontId="12" fillId="25" borderId="405" applyNumberFormat="0" applyProtection="0">
      <alignment horizontal="left" vertical="center"/>
    </xf>
    <xf numFmtId="0" fontId="17" fillId="21" borderId="407" applyNumberFormat="0" applyAlignment="0" applyProtection="0"/>
    <xf numFmtId="0" fontId="25" fillId="8" borderId="407" applyNumberFormat="0" applyAlignment="0" applyProtection="0"/>
    <xf numFmtId="0" fontId="25" fillId="8" borderId="460" applyNumberFormat="0" applyAlignment="0" applyProtection="0"/>
    <xf numFmtId="0" fontId="17" fillId="21" borderId="460" applyNumberFormat="0" applyAlignment="0" applyProtection="0"/>
    <xf numFmtId="0" fontId="28" fillId="21" borderId="408" applyNumberFormat="0" applyAlignment="0" applyProtection="0"/>
    <xf numFmtId="0" fontId="30" fillId="0" borderId="409" applyNumberFormat="0" applyFill="0" applyAlignment="0" applyProtection="0"/>
    <xf numFmtId="0" fontId="17" fillId="21" borderId="407" applyNumberFormat="0" applyAlignment="0" applyProtection="0"/>
    <xf numFmtId="0" fontId="25" fillId="8" borderId="407" applyNumberFormat="0" applyAlignment="0" applyProtection="0"/>
    <xf numFmtId="0" fontId="30" fillId="0" borderId="463" applyNumberFormat="0" applyFill="0" applyAlignment="0" applyProtection="0"/>
    <xf numFmtId="0" fontId="28" fillId="21" borderId="462" applyNumberFormat="0" applyAlignment="0" applyProtection="0"/>
    <xf numFmtId="0" fontId="28" fillId="21" borderId="408" applyNumberFormat="0" applyAlignment="0" applyProtection="0"/>
    <xf numFmtId="0" fontId="30" fillId="0" borderId="409" applyNumberFormat="0" applyFill="0" applyAlignment="0" applyProtection="0"/>
    <xf numFmtId="0" fontId="12" fillId="24" borderId="461" applyNumberFormat="0" applyFont="0" applyAlignment="0" applyProtection="0"/>
    <xf numFmtId="0" fontId="12" fillId="24" borderId="461" applyNumberFormat="0" applyFont="0" applyAlignment="0" applyProtection="0"/>
    <xf numFmtId="0" fontId="25" fillId="8" borderId="460" applyNumberFormat="0" applyAlignment="0" applyProtection="0"/>
    <xf numFmtId="0" fontId="17" fillId="21" borderId="460" applyNumberFormat="0" applyAlignment="0" applyProtection="0"/>
    <xf numFmtId="0" fontId="17" fillId="21" borderId="419" applyNumberFormat="0" applyAlignment="0" applyProtection="0"/>
    <xf numFmtId="0" fontId="25" fillId="8" borderId="419" applyNumberFormat="0" applyAlignment="0" applyProtection="0"/>
    <xf numFmtId="0" fontId="12" fillId="24" borderId="420" applyNumberFormat="0" applyFont="0" applyAlignment="0" applyProtection="0"/>
    <xf numFmtId="0" fontId="12" fillId="24" borderId="420" applyNumberFormat="0" applyFont="0" applyAlignment="0" applyProtection="0"/>
    <xf numFmtId="0" fontId="28" fillId="21" borderId="421" applyNumberFormat="0" applyAlignment="0" applyProtection="0"/>
    <xf numFmtId="0" fontId="30" fillId="0" borderId="422" applyNumberFormat="0" applyFill="0" applyAlignment="0" applyProtection="0"/>
    <xf numFmtId="0" fontId="17" fillId="21" borderId="419" applyNumberFormat="0" applyAlignment="0" applyProtection="0"/>
    <xf numFmtId="0" fontId="25" fillId="8" borderId="419" applyNumberFormat="0" applyAlignment="0" applyProtection="0"/>
    <xf numFmtId="0" fontId="12" fillId="24" borderId="420" applyNumberFormat="0" applyFont="0" applyAlignment="0" applyProtection="0"/>
    <xf numFmtId="0" fontId="12" fillId="24" borderId="420" applyNumberFormat="0" applyFont="0" applyAlignment="0" applyProtection="0"/>
    <xf numFmtId="0" fontId="28" fillId="21" borderId="421" applyNumberFormat="0" applyAlignment="0" applyProtection="0"/>
    <xf numFmtId="0" fontId="30" fillId="0" borderId="422" applyNumberFormat="0" applyFill="0" applyAlignment="0" applyProtection="0"/>
    <xf numFmtId="0" fontId="17" fillId="21" borderId="419" applyNumberFormat="0" applyAlignment="0" applyProtection="0"/>
    <xf numFmtId="0" fontId="25" fillId="8" borderId="419" applyNumberFormat="0" applyAlignment="0" applyProtection="0"/>
    <xf numFmtId="0" fontId="12" fillId="24" borderId="420" applyNumberFormat="0" applyFont="0" applyAlignment="0" applyProtection="0"/>
    <xf numFmtId="0" fontId="12" fillId="24" borderId="420" applyNumberFormat="0" applyFont="0" applyAlignment="0" applyProtection="0"/>
    <xf numFmtId="0" fontId="28" fillId="21" borderId="421" applyNumberFormat="0" applyAlignment="0" applyProtection="0"/>
    <xf numFmtId="0" fontId="30" fillId="0" borderId="422" applyNumberFormat="0" applyFill="0" applyAlignment="0" applyProtection="0"/>
    <xf numFmtId="0" fontId="17" fillId="21" borderId="419" applyNumberFormat="0" applyAlignment="0" applyProtection="0"/>
    <xf numFmtId="0" fontId="25" fillId="8" borderId="419" applyNumberFormat="0" applyAlignment="0" applyProtection="0"/>
    <xf numFmtId="0" fontId="12" fillId="24" borderId="420" applyNumberFormat="0" applyFont="0" applyAlignment="0" applyProtection="0"/>
    <xf numFmtId="0" fontId="12" fillId="24" borderId="420" applyNumberFormat="0" applyFont="0" applyAlignment="0" applyProtection="0"/>
    <xf numFmtId="0" fontId="28" fillId="21" borderId="421" applyNumberFormat="0" applyAlignment="0" applyProtection="0"/>
    <xf numFmtId="0" fontId="30" fillId="0" borderId="422" applyNumberFormat="0" applyFill="0" applyAlignment="0" applyProtection="0"/>
    <xf numFmtId="0" fontId="25" fillId="8" borderId="449" applyNumberFormat="0" applyAlignment="0" applyProtection="0"/>
    <xf numFmtId="0" fontId="17" fillId="21" borderId="449" applyNumberFormat="0" applyAlignment="0" applyProtection="0"/>
    <xf numFmtId="0" fontId="12" fillId="25" borderId="486" applyNumberFormat="0" applyProtection="0">
      <alignment horizontal="left" vertical="center"/>
    </xf>
    <xf numFmtId="0" fontId="30" fillId="0" borderId="463" applyNumberFormat="0" applyFill="0" applyAlignment="0" applyProtection="0"/>
    <xf numFmtId="0" fontId="28" fillId="21" borderId="462" applyNumberFormat="0" applyAlignment="0" applyProtection="0"/>
    <xf numFmtId="0" fontId="12" fillId="24" borderId="461" applyNumberFormat="0" applyFont="0" applyAlignment="0" applyProtection="0"/>
    <xf numFmtId="0" fontId="12" fillId="24" borderId="461" applyNumberFormat="0" applyFont="0" applyAlignment="0" applyProtection="0"/>
    <xf numFmtId="0" fontId="25" fillId="8" borderId="460" applyNumberFormat="0" applyAlignment="0" applyProtection="0"/>
    <xf numFmtId="0" fontId="17" fillId="21" borderId="460" applyNumberFormat="0" applyAlignment="0" applyProtection="0"/>
    <xf numFmtId="0" fontId="12" fillId="25" borderId="486" applyNumberFormat="0" applyProtection="0">
      <alignment horizontal="left" vertical="center"/>
    </xf>
    <xf numFmtId="0" fontId="30" fillId="0" borderId="463" applyNumberFormat="0" applyFill="0" applyAlignment="0" applyProtection="0"/>
    <xf numFmtId="0" fontId="28" fillId="21" borderId="462" applyNumberFormat="0" applyAlignment="0" applyProtection="0"/>
    <xf numFmtId="0" fontId="12" fillId="24" borderId="461" applyNumberFormat="0" applyFont="0" applyAlignment="0" applyProtection="0"/>
    <xf numFmtId="0" fontId="12" fillId="24" borderId="461" applyNumberFormat="0" applyFont="0" applyAlignment="0" applyProtection="0"/>
    <xf numFmtId="0" fontId="25" fillId="8" borderId="460" applyNumberFormat="0" applyAlignment="0" applyProtection="0"/>
    <xf numFmtId="0" fontId="28" fillId="21" borderId="438" applyNumberFormat="0" applyAlignment="0" applyProtection="0"/>
    <xf numFmtId="0" fontId="30" fillId="0" borderId="439" applyNumberFormat="0" applyFill="0" applyAlignment="0" applyProtection="0"/>
    <xf numFmtId="0" fontId="12" fillId="25" borderId="435" applyNumberFormat="0" applyProtection="0">
      <alignment horizontal="left" vertical="center"/>
    </xf>
    <xf numFmtId="0" fontId="12" fillId="25" borderId="435" applyNumberFormat="0" applyProtection="0">
      <alignment horizontal="left" vertical="center"/>
    </xf>
    <xf numFmtId="0" fontId="17" fillId="21" borderId="437" applyNumberFormat="0" applyAlignment="0" applyProtection="0"/>
    <xf numFmtId="0" fontId="25" fillId="8" borderId="437" applyNumberFormat="0" applyAlignment="0" applyProtection="0"/>
    <xf numFmtId="0" fontId="28" fillId="21" borderId="438" applyNumberFormat="0" applyAlignment="0" applyProtection="0"/>
    <xf numFmtId="0" fontId="30" fillId="0" borderId="439" applyNumberFormat="0" applyFill="0" applyAlignment="0" applyProtection="0"/>
    <xf numFmtId="0" fontId="17" fillId="21" borderId="437" applyNumberFormat="0" applyAlignment="0" applyProtection="0"/>
    <xf numFmtId="0" fontId="25" fillId="8" borderId="437" applyNumberFormat="0" applyAlignment="0" applyProtection="0"/>
    <xf numFmtId="0" fontId="28" fillId="21" borderId="438" applyNumberFormat="0" applyAlignment="0" applyProtection="0"/>
    <xf numFmtId="0" fontId="30" fillId="0" borderId="439" applyNumberFormat="0" applyFill="0" applyAlignment="0" applyProtection="0"/>
    <xf numFmtId="0" fontId="17" fillId="21" borderId="460" applyNumberFormat="0" applyAlignment="0" applyProtection="0"/>
    <xf numFmtId="0" fontId="17" fillId="21" borderId="457" applyNumberFormat="0" applyAlignment="0" applyProtection="0"/>
    <xf numFmtId="0" fontId="25" fillId="8" borderId="457"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28" fillId="21" borderId="458" applyNumberFormat="0" applyAlignment="0" applyProtection="0"/>
    <xf numFmtId="0" fontId="30" fillId="0" borderId="459" applyNumberFormat="0" applyFill="0" applyAlignment="0" applyProtection="0"/>
    <xf numFmtId="0" fontId="17" fillId="21" borderId="457" applyNumberFormat="0" applyAlignment="0" applyProtection="0"/>
    <xf numFmtId="0" fontId="25" fillId="8" borderId="457"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28" fillId="21" borderId="458" applyNumberFormat="0" applyAlignment="0" applyProtection="0"/>
    <xf numFmtId="0" fontId="30" fillId="0" borderId="459" applyNumberFormat="0" applyFill="0" applyAlignment="0" applyProtection="0"/>
    <xf numFmtId="0" fontId="12" fillId="25" borderId="456" applyNumberFormat="0" applyProtection="0">
      <alignment horizontal="left" vertical="center"/>
    </xf>
    <xf numFmtId="0" fontId="12" fillId="25" borderId="456" applyNumberFormat="0" applyProtection="0">
      <alignment horizontal="left" vertical="center"/>
    </xf>
    <xf numFmtId="0" fontId="17" fillId="21" borderId="457" applyNumberFormat="0" applyAlignment="0" applyProtection="0"/>
    <xf numFmtId="0" fontId="25" fillId="8" borderId="457"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28" fillId="21" borderId="458" applyNumberFormat="0" applyAlignment="0" applyProtection="0"/>
    <xf numFmtId="0" fontId="30" fillId="0" borderId="459" applyNumberFormat="0" applyFill="0" applyAlignment="0" applyProtection="0"/>
    <xf numFmtId="0" fontId="17" fillId="21" borderId="457" applyNumberFormat="0" applyAlignment="0" applyProtection="0"/>
    <xf numFmtId="0" fontId="25" fillId="8" borderId="457"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28" fillId="21" borderId="458" applyNumberFormat="0" applyAlignment="0" applyProtection="0"/>
    <xf numFmtId="0" fontId="30" fillId="0" borderId="459" applyNumberFormat="0" applyFill="0" applyAlignment="0" applyProtection="0"/>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2" fillId="25" borderId="473" applyNumberFormat="0" applyProtection="0">
      <alignment horizontal="left" vertical="center"/>
    </xf>
    <xf numFmtId="0" fontId="12" fillId="25" borderId="473" applyNumberFormat="0" applyProtection="0">
      <alignment horizontal="left" vertical="center"/>
    </xf>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2" fillId="25" borderId="486" applyNumberFormat="0" applyProtection="0">
      <alignment horizontal="left" vertical="center"/>
    </xf>
    <xf numFmtId="0" fontId="12" fillId="25" borderId="486" applyNumberFormat="0" applyProtection="0">
      <alignment horizontal="left" vertical="center"/>
    </xf>
    <xf numFmtId="241" fontId="194" fillId="86" borderId="507" applyNumberFormat="0" applyBorder="0" applyAlignment="0" applyProtection="0">
      <alignment vertical="center"/>
    </xf>
    <xf numFmtId="241" fontId="194" fillId="86" borderId="530" applyNumberFormat="0" applyBorder="0" applyAlignment="0" applyProtection="0">
      <alignment vertical="center"/>
    </xf>
    <xf numFmtId="171" fontId="85" fillId="0" borderId="517"/>
    <xf numFmtId="165" fontId="193" fillId="0" borderId="515" applyFill="0" applyAlignment="0" applyProtection="0"/>
    <xf numFmtId="39" fontId="12" fillId="0" borderId="515">
      <protection locked="0"/>
    </xf>
    <xf numFmtId="241" fontId="194" fillId="86" borderId="499" applyNumberFormat="0" applyBorder="0" applyAlignment="0" applyProtection="0">
      <alignment vertical="center"/>
    </xf>
    <xf numFmtId="0" fontId="11" fillId="60" borderId="509" applyNumberFormat="0" applyProtection="0">
      <alignment horizontal="left" vertical="center" wrapText="1"/>
    </xf>
    <xf numFmtId="0" fontId="12" fillId="25" borderId="509" applyNumberFormat="0" applyProtection="0">
      <alignment horizontal="left" vertical="center" wrapText="1"/>
    </xf>
    <xf numFmtId="257" fontId="11" fillId="82" borderId="509" applyNumberFormat="0" applyProtection="0">
      <alignment horizontal="center" vertical="center" wrapText="1"/>
    </xf>
    <xf numFmtId="0" fontId="11" fillId="60" borderId="509" applyNumberFormat="0" applyProtection="0">
      <alignment horizontal="left" vertical="center" wrapText="1"/>
    </xf>
    <xf numFmtId="0" fontId="11" fillId="81" borderId="509" applyNumberFormat="0" applyProtection="0">
      <alignment horizontal="center" vertical="center" wrapText="1"/>
    </xf>
    <xf numFmtId="0" fontId="11" fillId="81" borderId="509" applyNumberFormat="0" applyProtection="0">
      <alignment horizontal="center" vertical="center"/>
    </xf>
    <xf numFmtId="0" fontId="11" fillId="81" borderId="509" applyNumberFormat="0" applyProtection="0">
      <alignment horizontal="center" vertical="center" wrapText="1"/>
    </xf>
    <xf numFmtId="0" fontId="183" fillId="81" borderId="509" applyNumberFormat="0" applyProtection="0">
      <alignment horizontal="center" vertical="center"/>
    </xf>
    <xf numFmtId="0" fontId="177" fillId="67" borderId="509">
      <alignment horizontal="center" vertical="center" wrapText="1"/>
      <protection hidden="1"/>
    </xf>
    <xf numFmtId="264" fontId="172" fillId="65" borderId="509" applyFill="0" applyBorder="0" applyAlignment="0" applyProtection="0">
      <alignment horizontal="right"/>
      <protection locked="0"/>
    </xf>
    <xf numFmtId="0" fontId="12" fillId="24" borderId="501" applyNumberFormat="0" applyFont="0" applyAlignment="0" applyProtection="0"/>
    <xf numFmtId="0" fontId="12" fillId="24" borderId="501" applyNumberFormat="0" applyFont="0" applyAlignment="0" applyProtection="0"/>
    <xf numFmtId="0" fontId="17" fillId="21" borderId="500" applyNumberFormat="0" applyAlignment="0" applyProtection="0"/>
    <xf numFmtId="0" fontId="25" fillId="8" borderId="500" applyNumberFormat="0" applyAlignment="0" applyProtection="0"/>
    <xf numFmtId="0" fontId="11" fillId="60" borderId="520" applyNumberFormat="0" applyProtection="0">
      <alignment horizontal="left" vertical="center" wrapText="1"/>
    </xf>
    <xf numFmtId="0" fontId="12" fillId="25" borderId="520" applyNumberFormat="0" applyProtection="0">
      <alignment horizontal="left" vertical="center" wrapText="1"/>
    </xf>
    <xf numFmtId="257" fontId="11" fillId="82" borderId="520" applyNumberFormat="0" applyProtection="0">
      <alignment horizontal="center" vertical="center" wrapText="1"/>
    </xf>
    <xf numFmtId="0" fontId="11" fillId="60" borderId="520" applyNumberFormat="0" applyProtection="0">
      <alignment horizontal="left" vertical="center" wrapText="1"/>
    </xf>
    <xf numFmtId="0" fontId="11" fillId="81" borderId="520" applyNumberFormat="0" applyProtection="0">
      <alignment horizontal="center" vertical="center" wrapText="1"/>
    </xf>
    <xf numFmtId="0" fontId="11" fillId="81" borderId="520" applyNumberFormat="0" applyProtection="0">
      <alignment horizontal="center" vertical="center"/>
    </xf>
    <xf numFmtId="0" fontId="11" fillId="81" borderId="520" applyNumberFormat="0" applyProtection="0">
      <alignment horizontal="center" vertical="center" wrapText="1"/>
    </xf>
    <xf numFmtId="0" fontId="183" fillId="81" borderId="520" applyNumberFormat="0" applyProtection="0">
      <alignment horizontal="center" vertical="center"/>
    </xf>
    <xf numFmtId="0" fontId="177" fillId="67" borderId="520">
      <alignment horizontal="center" vertical="center" wrapText="1"/>
      <protection hidden="1"/>
    </xf>
    <xf numFmtId="264" fontId="172" fillId="65" borderId="520" applyFill="0" applyBorder="0" applyAlignment="0" applyProtection="0">
      <alignment horizontal="right"/>
      <protection locked="0"/>
    </xf>
    <xf numFmtId="260" fontId="164" fillId="0" borderId="525" applyBorder="0"/>
    <xf numFmtId="241" fontId="194" fillId="86" borderId="499" applyNumberFormat="0" applyBorder="0" applyAlignment="0" applyProtection="0">
      <alignment vertical="center"/>
    </xf>
    <xf numFmtId="224" fontId="108" fillId="0" borderId="483" applyFont="0" applyFill="0" applyBorder="0" applyAlignment="0" applyProtection="0"/>
    <xf numFmtId="0" fontId="12" fillId="0" borderId="520"/>
    <xf numFmtId="0" fontId="147" fillId="73" borderId="506">
      <alignment horizontal="left" vertical="center" wrapText="1"/>
    </xf>
    <xf numFmtId="0" fontId="147" fillId="73" borderId="529">
      <alignment horizontal="left" vertical="center" wrapText="1"/>
    </xf>
    <xf numFmtId="241" fontId="12" fillId="65" borderId="528" applyNumberFormat="0" applyFont="0" applyBorder="0" applyAlignment="0">
      <alignment horizontal="right" vertical="center"/>
      <protection locked="0"/>
    </xf>
    <xf numFmtId="10" fontId="108" fillId="65" borderId="520" applyNumberFormat="0" applyBorder="0" applyAlignment="0" applyProtection="0"/>
    <xf numFmtId="0" fontId="47" fillId="0" borderId="525">
      <alignment horizontal="left" vertical="center"/>
    </xf>
    <xf numFmtId="237" fontId="12" fillId="71" borderId="520" applyNumberFormat="0" applyFont="0" applyBorder="0" applyAlignment="0" applyProtection="0"/>
    <xf numFmtId="0" fontId="25" fillId="8" borderId="500" applyNumberFormat="0" applyAlignment="0" applyProtection="0"/>
    <xf numFmtId="1" fontId="121" fillId="69" borderId="518" applyNumberFormat="0" applyBorder="0" applyAlignment="0">
      <alignment horizontal="centerContinuous" vertical="center"/>
      <protection locked="0"/>
    </xf>
    <xf numFmtId="0" fontId="25" fillId="8" borderId="521" applyNumberFormat="0" applyAlignment="0" applyProtection="0"/>
    <xf numFmtId="224" fontId="108" fillId="0" borderId="483" applyFont="0" applyFill="0" applyBorder="0" applyAlignment="0" applyProtection="0"/>
    <xf numFmtId="224" fontId="108" fillId="0" borderId="516" applyFont="0" applyFill="0" applyBorder="0" applyAlignment="0" applyProtection="0"/>
    <xf numFmtId="171" fontId="85" fillId="0" borderId="517"/>
    <xf numFmtId="166" fontId="113" fillId="0" borderId="505">
      <protection locked="0"/>
    </xf>
    <xf numFmtId="0" fontId="12" fillId="24" borderId="501" applyNumberFormat="0" applyFont="0" applyAlignment="0" applyProtection="0"/>
    <xf numFmtId="166" fontId="113" fillId="0" borderId="527">
      <protection locked="0"/>
    </xf>
    <xf numFmtId="0" fontId="12" fillId="24" borderId="522" applyNumberFormat="0" applyFont="0" applyAlignment="0" applyProtection="0"/>
    <xf numFmtId="0" fontId="17" fillId="21" borderId="500" applyNumberFormat="0" applyAlignment="0" applyProtection="0"/>
    <xf numFmtId="0" fontId="17" fillId="21" borderId="521" applyNumberFormat="0" applyAlignment="0" applyProtection="0"/>
    <xf numFmtId="0" fontId="83" fillId="0" borderId="519" applyNumberFormat="0" applyFont="0" applyFill="0" applyAlignment="0" applyProtection="0"/>
    <xf numFmtId="208" fontId="90" fillId="63" borderId="504"/>
    <xf numFmtId="208" fontId="90" fillId="63" borderId="526"/>
    <xf numFmtId="260" fontId="164" fillId="0" borderId="514" applyBorder="0"/>
    <xf numFmtId="0" fontId="12" fillId="61" borderId="500" applyNumberFormat="0">
      <alignment horizontal="left" vertical="center"/>
    </xf>
    <xf numFmtId="0" fontId="12" fillId="60" borderId="500" applyNumberFormat="0">
      <alignment horizontal="centerContinuous" vertical="center" wrapText="1"/>
    </xf>
    <xf numFmtId="0" fontId="12" fillId="61" borderId="521" applyNumberFormat="0">
      <alignment horizontal="left" vertical="center"/>
    </xf>
    <xf numFmtId="0" fontId="12" fillId="60" borderId="521" applyNumberFormat="0">
      <alignment horizontal="centerContinuous" vertical="center" wrapText="1"/>
    </xf>
    <xf numFmtId="203" fontId="12" fillId="0" borderId="497">
      <alignment horizontal="right"/>
    </xf>
    <xf numFmtId="204" fontId="88" fillId="0" borderId="497">
      <alignment horizontal="right"/>
    </xf>
    <xf numFmtId="204" fontId="88" fillId="0" borderId="497" applyFill="0">
      <alignment horizontal="right"/>
    </xf>
    <xf numFmtId="3" fontId="12" fillId="0" borderId="497" applyFill="0">
      <alignment horizontal="right"/>
    </xf>
    <xf numFmtId="205" fontId="88" fillId="0" borderId="497" applyFill="0">
      <alignment horizontal="right"/>
    </xf>
    <xf numFmtId="207" fontId="12" fillId="0" borderId="497">
      <alignment horizontal="right"/>
      <protection locked="0"/>
    </xf>
    <xf numFmtId="165" fontId="88" fillId="0" borderId="497" applyNumberFormat="0" applyFont="0" applyBorder="0" applyProtection="0">
      <alignment horizontal="right"/>
    </xf>
    <xf numFmtId="1" fontId="94" fillId="64" borderId="498" applyNumberFormat="0" applyBorder="0" applyAlignment="0">
      <alignment horizontal="center" vertical="top" wrapText="1"/>
      <protection hidden="1"/>
    </xf>
    <xf numFmtId="0" fontId="97" fillId="0" borderId="496" applyNumberFormat="0" applyFill="0" applyAlignment="0" applyProtection="0"/>
    <xf numFmtId="0" fontId="83" fillId="0" borderId="496" applyNumberFormat="0" applyFont="0" applyFill="0" applyAlignment="0" applyProtection="0"/>
    <xf numFmtId="0" fontId="83" fillId="0" borderId="498" applyNumberFormat="0" applyFont="0" applyFill="0" applyAlignment="0" applyProtection="0"/>
    <xf numFmtId="231" fontId="85" fillId="0" borderId="496" applyFont="0" applyFill="0" applyBorder="0" applyAlignment="0" applyProtection="0"/>
    <xf numFmtId="235" fontId="101" fillId="68" borderId="498">
      <alignment horizontal="left"/>
    </xf>
    <xf numFmtId="2" fontId="149" fillId="0" borderId="496"/>
    <xf numFmtId="14" fontId="85" fillId="0" borderId="496" applyFont="0" applyFill="0" applyBorder="0" applyAlignment="0" applyProtection="0"/>
    <xf numFmtId="171" fontId="12" fillId="0" borderId="496" applyBorder="0" applyProtection="0">
      <alignment horizontal="right" vertical="center"/>
    </xf>
    <xf numFmtId="0" fontId="189" fillId="83" borderId="496" applyBorder="0" applyProtection="0">
      <alignment horizontal="centerContinuous" vertical="center"/>
    </xf>
    <xf numFmtId="49" fontId="79" fillId="0" borderId="496">
      <alignment vertical="center"/>
    </xf>
    <xf numFmtId="278" fontId="173" fillId="70" borderId="498" applyBorder="0">
      <alignment horizontal="right" vertical="center"/>
      <protection locked="0"/>
    </xf>
    <xf numFmtId="283" fontId="79" fillId="0" borderId="496">
      <alignment horizontal="right"/>
    </xf>
    <xf numFmtId="0" fontId="147" fillId="73" borderId="529">
      <alignment horizontal="left" vertical="center" wrapText="1"/>
    </xf>
    <xf numFmtId="166" fontId="113" fillId="0" borderId="527">
      <protection locked="0"/>
    </xf>
    <xf numFmtId="208" fontId="90" fillId="63" borderId="526"/>
    <xf numFmtId="0" fontId="147" fillId="73" borderId="506">
      <alignment horizontal="left" vertical="center" wrapText="1"/>
    </xf>
    <xf numFmtId="166" fontId="113" fillId="0" borderId="505">
      <protection locked="0"/>
    </xf>
    <xf numFmtId="208" fontId="90" fillId="63" borderId="504"/>
    <xf numFmtId="0" fontId="12" fillId="0" borderId="509"/>
    <xf numFmtId="10" fontId="108" fillId="65" borderId="509" applyNumberFormat="0" applyBorder="0" applyAlignment="0" applyProtection="0"/>
    <xf numFmtId="0" fontId="47" fillId="0" borderId="514">
      <alignment horizontal="left" vertical="center"/>
    </xf>
    <xf numFmtId="237" fontId="12" fillId="71" borderId="509" applyNumberFormat="0" applyFont="0" applyBorder="0" applyAlignment="0" applyProtection="0"/>
    <xf numFmtId="1" fontId="121" fillId="69" borderId="510" applyNumberFormat="0" applyBorder="0" applyAlignment="0">
      <alignment horizontal="centerContinuous" vertical="center"/>
      <protection locked="0"/>
    </xf>
    <xf numFmtId="0" fontId="25" fillId="8" borderId="511" applyNumberFormat="0" applyAlignment="0" applyProtection="0"/>
    <xf numFmtId="224" fontId="108" fillId="0" borderId="516" applyFont="0" applyFill="0" applyBorder="0" applyAlignment="0" applyProtection="0"/>
    <xf numFmtId="224" fontId="108" fillId="0" borderId="483" applyFont="0" applyFill="0" applyBorder="0" applyAlignment="0" applyProtection="0"/>
    <xf numFmtId="241" fontId="194" fillId="86" borderId="530" applyNumberFormat="0" applyBorder="0" applyAlignment="0" applyProtection="0">
      <alignment vertical="center"/>
    </xf>
    <xf numFmtId="241" fontId="194" fillId="86" borderId="507" applyNumberFormat="0" applyBorder="0" applyAlignment="0" applyProtection="0">
      <alignment vertical="center"/>
    </xf>
    <xf numFmtId="0" fontId="17" fillId="21" borderId="511" applyNumberFormat="0" applyAlignment="0" applyProtection="0"/>
    <xf numFmtId="0" fontId="83" fillId="0" borderId="508" applyNumberFormat="0" applyFont="0" applyFill="0" applyAlignment="0" applyProtection="0"/>
    <xf numFmtId="167" fontId="87" fillId="0" borderId="515" applyFont="0"/>
    <xf numFmtId="0" fontId="12" fillId="61" borderId="511" applyNumberFormat="0">
      <alignment horizontal="left" vertical="center"/>
    </xf>
    <xf numFmtId="0" fontId="12" fillId="60" borderId="511" applyNumberFormat="0">
      <alignment horizontal="centerContinuous" vertical="center" wrapText="1"/>
    </xf>
    <xf numFmtId="0" fontId="12" fillId="25" borderId="509" applyNumberFormat="0" applyProtection="0">
      <alignment horizontal="left" vertical="center"/>
    </xf>
    <xf numFmtId="0" fontId="12" fillId="25" borderId="509" applyNumberFormat="0" applyProtection="0">
      <alignment horizontal="left" vertical="center"/>
    </xf>
    <xf numFmtId="0" fontId="12" fillId="25" borderId="520" applyNumberFormat="0" applyProtection="0">
      <alignment horizontal="left" vertical="center"/>
    </xf>
    <xf numFmtId="0" fontId="12" fillId="25" borderId="520" applyNumberFormat="0" applyProtection="0">
      <alignment horizontal="left" vertical="center"/>
    </xf>
    <xf numFmtId="0" fontId="28" fillId="21" borderId="502" applyNumberFormat="0" applyAlignment="0" applyProtection="0"/>
    <xf numFmtId="0" fontId="30" fillId="0" borderId="503" applyNumberFormat="0" applyFill="0" applyAlignment="0" applyProtection="0"/>
    <xf numFmtId="0" fontId="17" fillId="21" borderId="500" applyNumberFormat="0" applyAlignment="0" applyProtection="0"/>
    <xf numFmtId="0" fontId="25" fillId="8" borderId="500" applyNumberFormat="0" applyAlignment="0" applyProtection="0"/>
    <xf numFmtId="0" fontId="12" fillId="24" borderId="501" applyNumberFormat="0" applyFont="0" applyAlignment="0" applyProtection="0"/>
    <xf numFmtId="0" fontId="12" fillId="24" borderId="501" applyNumberFormat="0" applyFont="0" applyAlignment="0" applyProtection="0"/>
    <xf numFmtId="0" fontId="28" fillId="21" borderId="502" applyNumberFormat="0" applyAlignment="0" applyProtection="0"/>
    <xf numFmtId="0" fontId="30" fillId="0" borderId="503" applyNumberFormat="0" applyFill="0" applyAlignment="0" applyProtection="0"/>
    <xf numFmtId="0" fontId="17" fillId="21" borderId="500" applyNumberFormat="0" applyAlignment="0" applyProtection="0"/>
    <xf numFmtId="0" fontId="25" fillId="8" borderId="500" applyNumberFormat="0" applyAlignment="0" applyProtection="0"/>
    <xf numFmtId="0" fontId="12" fillId="24" borderId="501" applyNumberFormat="0" applyFont="0" applyAlignment="0" applyProtection="0"/>
    <xf numFmtId="0" fontId="12" fillId="24" borderId="501" applyNumberFormat="0" applyFont="0" applyAlignment="0" applyProtection="0"/>
    <xf numFmtId="0" fontId="28" fillId="21" borderId="502" applyNumberFormat="0" applyAlignment="0" applyProtection="0"/>
    <xf numFmtId="0" fontId="30" fillId="0" borderId="503" applyNumberFormat="0" applyFill="0" applyAlignment="0" applyProtection="0"/>
    <xf numFmtId="0" fontId="17" fillId="21" borderId="500" applyNumberFormat="0" applyAlignment="0" applyProtection="0"/>
    <xf numFmtId="0" fontId="25" fillId="8" borderId="500" applyNumberFormat="0" applyAlignment="0" applyProtection="0"/>
    <xf numFmtId="0" fontId="12" fillId="24" borderId="501" applyNumberFormat="0" applyFont="0" applyAlignment="0" applyProtection="0"/>
    <xf numFmtId="0" fontId="12" fillId="24" borderId="501" applyNumberFormat="0" applyFont="0" applyAlignment="0" applyProtection="0"/>
    <xf numFmtId="0" fontId="28" fillId="21" borderId="502" applyNumberFormat="0" applyAlignment="0" applyProtection="0"/>
    <xf numFmtId="0" fontId="30" fillId="0" borderId="503" applyNumberFormat="0" applyFill="0" applyAlignment="0" applyProtection="0"/>
    <xf numFmtId="0" fontId="17" fillId="21" borderId="511" applyNumberFormat="0" applyAlignment="0" applyProtection="0"/>
    <xf numFmtId="0" fontId="25" fillId="8" borderId="511" applyNumberFormat="0" applyAlignment="0" applyProtection="0"/>
    <xf numFmtId="0" fontId="28" fillId="21" borderId="512" applyNumberFormat="0" applyAlignment="0" applyProtection="0"/>
    <xf numFmtId="0" fontId="30" fillId="0" borderId="513" applyNumberFormat="0" applyFill="0" applyAlignment="0" applyProtection="0"/>
    <xf numFmtId="0" fontId="17" fillId="21" borderId="511" applyNumberFormat="0" applyAlignment="0" applyProtection="0"/>
    <xf numFmtId="0" fontId="25" fillId="8" borderId="511" applyNumberFormat="0" applyAlignment="0" applyProtection="0"/>
    <xf numFmtId="0" fontId="28" fillId="21" borderId="512" applyNumberFormat="0" applyAlignment="0" applyProtection="0"/>
    <xf numFmtId="0" fontId="30" fillId="0" borderId="513" applyNumberFormat="0" applyFill="0" applyAlignment="0" applyProtection="0"/>
    <xf numFmtId="0" fontId="12" fillId="25" borderId="509" applyNumberFormat="0" applyProtection="0">
      <alignment horizontal="left" vertical="center"/>
    </xf>
    <xf numFmtId="0" fontId="12" fillId="25" borderId="509" applyNumberFormat="0" applyProtection="0">
      <alignment horizontal="left" vertical="center"/>
    </xf>
    <xf numFmtId="0" fontId="17" fillId="21" borderId="511" applyNumberFormat="0" applyAlignment="0" applyProtection="0"/>
    <xf numFmtId="0" fontId="25" fillId="8" borderId="511" applyNumberFormat="0" applyAlignment="0" applyProtection="0"/>
    <xf numFmtId="0" fontId="28" fillId="21" borderId="512" applyNumberFormat="0" applyAlignment="0" applyProtection="0"/>
    <xf numFmtId="0" fontId="30" fillId="0" borderId="513" applyNumberFormat="0" applyFill="0" applyAlignment="0" applyProtection="0"/>
    <xf numFmtId="0" fontId="17" fillId="21" borderId="511" applyNumberFormat="0" applyAlignment="0" applyProtection="0"/>
    <xf numFmtId="0" fontId="25" fillId="8" borderId="511" applyNumberFormat="0" applyAlignment="0" applyProtection="0"/>
    <xf numFmtId="0" fontId="28" fillId="21" borderId="512" applyNumberFormat="0" applyAlignment="0" applyProtection="0"/>
    <xf numFmtId="0" fontId="30" fillId="0" borderId="513" applyNumberFormat="0" applyFill="0" applyAlignment="0" applyProtection="0"/>
    <xf numFmtId="0" fontId="17" fillId="21" borderId="521" applyNumberFormat="0" applyAlignment="0" applyProtection="0"/>
    <xf numFmtId="0" fontId="25" fillId="8" borderId="521" applyNumberFormat="0" applyAlignment="0" applyProtection="0"/>
    <xf numFmtId="0" fontId="12" fillId="24" borderId="522" applyNumberFormat="0" applyFont="0" applyAlignment="0" applyProtection="0"/>
    <xf numFmtId="0" fontId="12" fillId="24" borderId="522" applyNumberFormat="0" applyFont="0" applyAlignment="0" applyProtection="0"/>
    <xf numFmtId="0" fontId="28" fillId="21" borderId="523" applyNumberFormat="0" applyAlignment="0" applyProtection="0"/>
    <xf numFmtId="0" fontId="30" fillId="0" borderId="524" applyNumberFormat="0" applyFill="0" applyAlignment="0" applyProtection="0"/>
    <xf numFmtId="0" fontId="17" fillId="21" borderId="521" applyNumberFormat="0" applyAlignment="0" applyProtection="0"/>
    <xf numFmtId="0" fontId="25" fillId="8" borderId="521" applyNumberFormat="0" applyAlignment="0" applyProtection="0"/>
    <xf numFmtId="0" fontId="12" fillId="24" borderId="522" applyNumberFormat="0" applyFont="0" applyAlignment="0" applyProtection="0"/>
    <xf numFmtId="0" fontId="12" fillId="24" borderId="522" applyNumberFormat="0" applyFont="0" applyAlignment="0" applyProtection="0"/>
    <xf numFmtId="0" fontId="28" fillId="21" borderId="523" applyNumberFormat="0" applyAlignment="0" applyProtection="0"/>
    <xf numFmtId="0" fontId="30" fillId="0" borderId="524" applyNumberFormat="0" applyFill="0" applyAlignment="0" applyProtection="0"/>
    <xf numFmtId="0" fontId="12" fillId="25" borderId="520" applyNumberFormat="0" applyProtection="0">
      <alignment horizontal="left" vertical="center"/>
    </xf>
    <xf numFmtId="0" fontId="12" fillId="25" borderId="520" applyNumberFormat="0" applyProtection="0">
      <alignment horizontal="left" vertical="center"/>
    </xf>
    <xf numFmtId="0" fontId="17" fillId="21" borderId="521" applyNumberFormat="0" applyAlignment="0" applyProtection="0"/>
    <xf numFmtId="0" fontId="25" fillId="8" borderId="521" applyNumberFormat="0" applyAlignment="0" applyProtection="0"/>
    <xf numFmtId="0" fontId="12" fillId="24" borderId="522" applyNumberFormat="0" applyFont="0" applyAlignment="0" applyProtection="0"/>
    <xf numFmtId="0" fontId="12" fillId="24" borderId="522" applyNumberFormat="0" applyFont="0" applyAlignment="0" applyProtection="0"/>
    <xf numFmtId="0" fontId="28" fillId="21" borderId="523" applyNumberFormat="0" applyAlignment="0" applyProtection="0"/>
    <xf numFmtId="0" fontId="30" fillId="0" borderId="524" applyNumberFormat="0" applyFill="0" applyAlignment="0" applyProtection="0"/>
    <xf numFmtId="0" fontId="17" fillId="21" borderId="521" applyNumberFormat="0" applyAlignment="0" applyProtection="0"/>
    <xf numFmtId="0" fontId="25" fillId="8" borderId="521" applyNumberFormat="0" applyAlignment="0" applyProtection="0"/>
    <xf numFmtId="0" fontId="12" fillId="24" borderId="522" applyNumberFormat="0" applyFont="0" applyAlignment="0" applyProtection="0"/>
    <xf numFmtId="0" fontId="12" fillId="24" borderId="522" applyNumberFormat="0" applyFont="0" applyAlignment="0" applyProtection="0"/>
    <xf numFmtId="0" fontId="28" fillId="21" borderId="523" applyNumberFormat="0" applyAlignment="0" applyProtection="0"/>
    <xf numFmtId="0" fontId="30" fillId="0" borderId="524" applyNumberFormat="0" applyFill="0" applyAlignment="0" applyProtection="0"/>
  </cellStyleXfs>
  <cellXfs count="89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173" fontId="91" fillId="28" borderId="13" xfId="0" applyNumberFormat="1" applyFont="1" applyFill="1" applyBorder="1" applyAlignment="1">
      <alignment horizontal="center"/>
    </xf>
    <xf numFmtId="0" fontId="0" fillId="90" borderId="110" xfId="0" applyFill="1" applyBorder="1"/>
    <xf numFmtId="0" fontId="0" fillId="28" borderId="110" xfId="0" applyFont="1" applyFill="1" applyBorder="1" applyAlignment="1">
      <alignment vertical="top"/>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289" fontId="238" fillId="2" borderId="116" xfId="0" applyNumberFormat="1" applyFont="1" applyFill="1" applyBorder="1" applyAlignment="1">
      <alignment vertical="top"/>
    </xf>
    <xf numFmtId="289" fontId="238" fillId="96" borderId="116" xfId="0" applyNumberFormat="1" applyFont="1" applyFill="1" applyBorder="1" applyAlignment="1">
      <alignment vertical="top"/>
    </xf>
    <xf numFmtId="289" fontId="238" fillId="2" borderId="40" xfId="0" applyNumberFormat="1" applyFont="1" applyFill="1" applyBorder="1" applyAlignment="1">
      <alignment vertical="top"/>
    </xf>
    <xf numFmtId="289" fontId="238" fillId="96" borderId="40" xfId="0" applyNumberFormat="1" applyFont="1" applyFill="1" applyBorder="1" applyAlignment="1">
      <alignment vertical="top"/>
    </xf>
    <xf numFmtId="289" fontId="238" fillId="2" borderId="35" xfId="0" applyNumberFormat="1" applyFont="1" applyFill="1" applyBorder="1" applyAlignment="1">
      <alignment vertical="top"/>
    </xf>
    <xf numFmtId="289" fontId="238" fillId="96" borderId="35" xfId="0" applyNumberFormat="1" applyFont="1" applyFill="1" applyBorder="1" applyAlignment="1">
      <alignment vertical="top"/>
    </xf>
    <xf numFmtId="289" fontId="238" fillId="94" borderId="35" xfId="0" applyNumberFormat="1" applyFont="1" applyFill="1" applyBorder="1" applyAlignment="1">
      <alignment vertical="top"/>
    </xf>
    <xf numFmtId="289" fontId="238" fillId="95" borderId="35" xfId="0" applyNumberFormat="1" applyFont="1" applyFill="1" applyBorder="1" applyAlignment="1">
      <alignment vertical="top"/>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0" fontId="0" fillId="2" borderId="0" xfId="0" applyFill="1" applyBorder="1"/>
    <xf numFmtId="0" fontId="13" fillId="2" borderId="0" xfId="0" applyFont="1" applyFill="1"/>
    <xf numFmtId="3" fontId="45" fillId="28" borderId="35" xfId="0" applyNumberFormat="1" applyFont="1" applyFill="1" applyBorder="1" applyAlignment="1" applyProtection="1">
      <alignment horizontal="center" vertical="center"/>
      <protection locked="0"/>
    </xf>
    <xf numFmtId="0" fontId="0" fillId="2" borderId="0" xfId="0"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0" fontId="5" fillId="28" borderId="35" xfId="0" applyFont="1" applyFill="1" applyBorder="1" applyProtection="1">
      <protection locked="0"/>
    </xf>
    <xf numFmtId="0" fontId="0" fillId="2" borderId="265" xfId="0" applyFill="1" applyBorder="1"/>
    <xf numFmtId="8" fontId="0" fillId="2" borderId="265" xfId="0" applyNumberFormat="1" applyFill="1" applyBorder="1"/>
    <xf numFmtId="6" fontId="0" fillId="2" borderId="265" xfId="0" applyNumberFormat="1" applyFill="1" applyBorder="1"/>
    <xf numFmtId="8" fontId="91" fillId="2" borderId="0" xfId="0" applyNumberFormat="1" applyFont="1" applyFill="1" applyBorder="1" applyAlignment="1">
      <alignment horizontal="center"/>
    </xf>
    <xf numFmtId="8" fontId="48"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0" fontId="212" fillId="97" borderId="123" xfId="40" applyNumberFormat="1" applyFont="1" applyFill="1" applyBorder="1" applyAlignment="1">
      <alignment horizontal="left" vertical="center"/>
    </xf>
    <xf numFmtId="181" fontId="212" fillId="97" borderId="123" xfId="71" applyNumberFormat="1" applyFont="1" applyFill="1" applyBorder="1" applyAlignment="1">
      <alignment horizontal="left" vertical="center"/>
    </xf>
  </cellXfs>
  <cellStyles count="1149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10" xfId="10679" xr:uid="{FB69CB50-7E89-4535-9970-156E2CEBA0A1}"/>
    <cellStyle name="(Heading) 11" xfId="10684" xr:uid="{EE6173AA-A8A6-4F02-863C-05603A314F8A}"/>
    <cellStyle name="(Heading) 12" xfId="10687" xr:uid="{FAE18693-5236-4726-81E8-6AF540960244}"/>
    <cellStyle name="(Heading) 13" xfId="10689" xr:uid="{B91230A2-25E8-43CD-B7EF-6C9165AC308D}"/>
    <cellStyle name="(Heading) 14" xfId="10699" xr:uid="{028292EE-2AFF-4056-BBE7-D19B8A071873}"/>
    <cellStyle name="(Heading) 15" xfId="10714" xr:uid="{758E4DCD-AB5B-45F9-813E-E899D5F20B2D}"/>
    <cellStyle name="(Heading) 16" xfId="10747" xr:uid="{2F932485-F5D4-46EB-B8BD-968AE0CDBCA5}"/>
    <cellStyle name="(Heading) 17" xfId="10719" xr:uid="{39CE651F-4597-4A02-A24A-86706C16F157}"/>
    <cellStyle name="(Heading) 18" xfId="10760" xr:uid="{C20F90F6-ACB5-49B5-97D1-F51769DEDDF4}"/>
    <cellStyle name="(Heading) 19" xfId="10754" xr:uid="{26084AC8-2AD1-41BD-948C-66D862DE0579}"/>
    <cellStyle name="(Heading) 2" xfId="9965" xr:uid="{9C6259AB-A704-47EF-8163-717FCD9CA31D}"/>
    <cellStyle name="(Heading) 20" xfId="10764" xr:uid="{2FC8392A-EDBF-4150-B18D-311B1D1BDE63}"/>
    <cellStyle name="(Heading) 21" xfId="10769" xr:uid="{D8ECE31B-C287-4540-8FF8-185CE2C094EC}"/>
    <cellStyle name="(Heading) 22" xfId="10827" xr:uid="{8ECA141B-9D87-4FE0-82D5-13469225D3CE}"/>
    <cellStyle name="(Heading) 23" xfId="10776" xr:uid="{54BD650B-3543-4EA6-A732-9C7BB3E03401}"/>
    <cellStyle name="(Heading) 24" xfId="11380" xr:uid="{A7C7B32B-F849-4565-880B-62D35F741D33}"/>
    <cellStyle name="(Heading) 25" xfId="11423" xr:uid="{AA542181-16CA-450F-9820-C227D2E13A3C}"/>
    <cellStyle name="(Heading) 26" xfId="11382" xr:uid="{16802849-2EE2-4FA7-A641-55FC89DDFB08}"/>
    <cellStyle name="(Heading) 3" xfId="10387" xr:uid="{867FFF8F-7A76-4C3B-A49D-BF9F1A1892F2}"/>
    <cellStyle name="(Heading) 4" xfId="10623" xr:uid="{DA24481B-4516-480A-AD24-0ECA89A10147}"/>
    <cellStyle name="(Heading) 5" xfId="10394" xr:uid="{0207BFD4-CFF5-4911-A519-77C604A4F115}"/>
    <cellStyle name="(Heading) 6" xfId="10635" xr:uid="{899450EA-5EFE-46EC-AFA7-4AB511E8CE6B}"/>
    <cellStyle name="(Heading) 7" xfId="10650" xr:uid="{F590016F-B5AE-4782-A7B2-7AAE3DE63488}"/>
    <cellStyle name="(Heading) 8" xfId="10652" xr:uid="{0FEDEC09-869A-42FF-AB0F-024B0D719246}"/>
    <cellStyle name="(Heading) 9" xfId="10671" xr:uid="{B97C7B7F-37D0-4B95-AA0D-6C3A1203C250}"/>
    <cellStyle name="(Lefting)" xfId="705" xr:uid="{00000000-0005-0000-0000-000007000000}"/>
    <cellStyle name="(Lefting) 10" xfId="10678" xr:uid="{7F2FAB9C-79D2-434D-82CD-159E5DE37B12}"/>
    <cellStyle name="(Lefting) 11" xfId="10683" xr:uid="{684BDC49-3DD7-4300-B623-1D1FE280395C}"/>
    <cellStyle name="(Lefting) 12" xfId="10686" xr:uid="{985B780C-3BFD-4BED-B579-1F45ABC8D29B}"/>
    <cellStyle name="(Lefting) 13" xfId="10688" xr:uid="{9BF1F076-CC29-4205-8AC0-4210B93C7548}"/>
    <cellStyle name="(Lefting) 14" xfId="10698" xr:uid="{8D5D9D0E-BA6F-48AF-87C7-8ED80541C209}"/>
    <cellStyle name="(Lefting) 15" xfId="10713" xr:uid="{D2B28F19-EA0E-4BB8-A92F-0F41671A53C6}"/>
    <cellStyle name="(Lefting) 16" xfId="10746" xr:uid="{4F70EE76-1FB1-4DF8-9DEB-CCEE7F6AA64C}"/>
    <cellStyle name="(Lefting) 17" xfId="10718" xr:uid="{E3F727B0-4EB9-49E3-B75C-E27B1708DCE1}"/>
    <cellStyle name="(Lefting) 18" xfId="10759" xr:uid="{5F95C4F9-B84F-47CF-83C0-C3848FA15533}"/>
    <cellStyle name="(Lefting) 19" xfId="10753" xr:uid="{971E762E-D2F0-44EF-B2AC-7BA47604892D}"/>
    <cellStyle name="(Lefting) 2" xfId="9966" xr:uid="{CF5488AF-1895-49E6-A276-83F59AC0FD16}"/>
    <cellStyle name="(Lefting) 20" xfId="10763" xr:uid="{8D686EFA-EE2E-4FFB-A6EB-B5CE92D5CD13}"/>
    <cellStyle name="(Lefting) 21" xfId="10767" xr:uid="{D74E151B-0FF7-41EE-9EBB-71F16687C13A}"/>
    <cellStyle name="(Lefting) 22" xfId="10826" xr:uid="{DEF8C0F5-EE71-40D7-864E-397B2D9B2A02}"/>
    <cellStyle name="(Lefting) 23" xfId="10775" xr:uid="{404154B8-5C61-4DBA-9DED-4C3926970DB6}"/>
    <cellStyle name="(Lefting) 24" xfId="11379" xr:uid="{9F5CEDF5-C6E2-4F9F-A125-50BF249BCDDD}"/>
    <cellStyle name="(Lefting) 25" xfId="11422" xr:uid="{D5DAF140-22FA-44B7-BA6D-2677D5074AB1}"/>
    <cellStyle name="(Lefting) 26" xfId="11381" xr:uid="{0546E13E-4C08-430C-9C51-EA02EB2308BD}"/>
    <cellStyle name="(Lefting) 3" xfId="10386" xr:uid="{150CD1AE-147E-4A69-AF61-7BD13D90FDBB}"/>
    <cellStyle name="(Lefting) 4" xfId="10622" xr:uid="{434DB011-4198-4D70-B450-E3E234890C0B}"/>
    <cellStyle name="(Lefting) 5" xfId="10393" xr:uid="{80A839ED-33A8-47E8-AD3F-6FAAFCD19C84}"/>
    <cellStyle name="(Lefting) 6" xfId="10634" xr:uid="{ED87B605-5720-43E7-9A6F-41712A7C4075}"/>
    <cellStyle name="(Lefting) 7" xfId="10649" xr:uid="{D8CD0BC9-3117-41C2-B9DE-6B1D8B8C3C23}"/>
    <cellStyle name="(Lefting) 8" xfId="10651" xr:uid="{EFDC81A4-4887-4BD7-8CBA-934EC29EA08E}"/>
    <cellStyle name="(Lefting) 9" xfId="10670" xr:uid="{5D692A34-8AB7-4C6D-8D0D-292E7E831349}"/>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 2 2" xfId="11383" xr:uid="{5A07801A-70CB-461D-84DF-2AECF76B8B5F}"/>
    <cellStyle name="A% 3" xfId="10324" xr:uid="{8AC17A0D-FD28-44AC-9E70-53C41EB76E57}"/>
    <cellStyle name="A% 4" xfId="10385" xr:uid="{753DF888-D3EB-49AC-A0D8-CC577525A224}"/>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 Total 10" xfId="10343" xr:uid="{9A6976F1-C359-4F68-9A26-656EB6B2FCCF}"/>
    <cellStyle name="Accounting w/$ Total 11" xfId="10346" xr:uid="{2883FD36-2CC6-4009-897D-F282B250762F}"/>
    <cellStyle name="Accounting w/$ Total 12" xfId="10597" xr:uid="{A0F1A89C-4736-45A2-A500-92C7315CC5AE}"/>
    <cellStyle name="Accounting w/$ Total 13" xfId="10357" xr:uid="{5732E71C-97BA-4A77-9896-2B2B121FF3D2}"/>
    <cellStyle name="Accounting w/$ Total 14" xfId="10362" xr:uid="{E83144B5-CB6E-44DF-A42C-1A77065BEC81}"/>
    <cellStyle name="Accounting w/$ Total 15" xfId="10616" xr:uid="{15EF5C0A-CB93-4437-9D36-7F0BD0C066F2}"/>
    <cellStyle name="Accounting w/$ Total 16" xfId="10619" xr:uid="{A570507B-8C0C-46A3-AE97-3810686CA89A}"/>
    <cellStyle name="Accounting w/$ Total 17" xfId="10621" xr:uid="{3FA02964-E32A-4E55-B15F-F9D9202FC520}"/>
    <cellStyle name="Accounting w/$ Total 18" xfId="11421" xr:uid="{F58CA77F-9098-4DAA-B267-5EF2F33A74B2}"/>
    <cellStyle name="Accounting w/$ Total 2" xfId="10297" xr:uid="{0E025432-7138-4C97-AC91-7880E1DA8D57}"/>
    <cellStyle name="Accounting w/$ Total 3" xfId="10575" xr:uid="{AD7DDA02-26F6-4CD4-8FA6-6A8FBDE9D7C5}"/>
    <cellStyle name="Accounting w/$ Total 4" xfId="10303" xr:uid="{2307AFEF-1AF7-4E80-A45C-23F7D2C3D50F}"/>
    <cellStyle name="Accounting w/$ Total 5" xfId="10584" xr:uid="{AF81334B-6F74-4771-A783-4EAC915EF4D8}"/>
    <cellStyle name="Accounting w/$ Total 6" xfId="10327" xr:uid="{D026F3BD-A0DC-432A-AA44-BF02E66FDC27}"/>
    <cellStyle name="Accounting w/$ Total 7" xfId="10586" xr:uid="{73FF12CC-13A2-4423-981A-2FDDEEF95528}"/>
    <cellStyle name="Accounting w/$ Total 8" xfId="10590" xr:uid="{924D373A-A8B0-4734-AFCF-8B373DD02400}"/>
    <cellStyle name="Accounting w/$ Total 9" xfId="10334" xr:uid="{2CF72108-847E-49E8-86D4-4EF27285113B}"/>
    <cellStyle name="Accounting w/o $" xfId="1353" xr:uid="{00000000-0005-0000-0000-0000C4020000}"/>
    <cellStyle name="Acinput" xfId="1354" xr:uid="{00000000-0005-0000-0000-0000C5020000}"/>
    <cellStyle name="Acinput 2" xfId="5686" xr:uid="{00000000-0005-0000-0000-0000C6020000}"/>
    <cellStyle name="Acinput 2 2" xfId="11384" xr:uid="{CF37667D-CB4D-4AF9-BF64-A652592AE49B}"/>
    <cellStyle name="Acinput 3" xfId="10316" xr:uid="{7F6235B2-FC79-4901-B5B5-80E62C3B9A6E}"/>
    <cellStyle name="Acinput 4" xfId="10373" xr:uid="{58BBA673-65AE-46C8-90F1-89931063DDB6}"/>
    <cellStyle name="Acinput,," xfId="1355" xr:uid="{00000000-0005-0000-0000-0000C7020000}"/>
    <cellStyle name="Acinput,, 2" xfId="5687" xr:uid="{00000000-0005-0000-0000-0000C8020000}"/>
    <cellStyle name="Acinput,, 2 2" xfId="11385" xr:uid="{280F5F43-613F-4C23-A6FF-817ABA29FBA8}"/>
    <cellStyle name="Acinput,, 3" xfId="10315" xr:uid="{C0AD0472-59CF-45A1-ACEE-3AF59A1EFC06}"/>
    <cellStyle name="Acinput,, 4" xfId="10372" xr:uid="{8A8D6F84-E8B0-453F-BE8C-ACC6336CBF63}"/>
    <cellStyle name="Acoutput" xfId="1356" xr:uid="{00000000-0005-0000-0000-0000C9020000}"/>
    <cellStyle name="Acoutput 2" xfId="5688" xr:uid="{00000000-0005-0000-0000-0000CA020000}"/>
    <cellStyle name="Acoutput 2 2" xfId="11386" xr:uid="{EFE20883-8E4A-450A-9749-AF4EA1AE1B63}"/>
    <cellStyle name="Acoutput 3" xfId="10314" xr:uid="{CBF2C4B3-FDC2-443D-A1AF-A0012249B1D2}"/>
    <cellStyle name="Acoutput 4" xfId="10371" xr:uid="{3112D116-3D11-44AF-8507-CF44C414D428}"/>
    <cellStyle name="Acoutput,," xfId="1357" xr:uid="{00000000-0005-0000-0000-0000CB020000}"/>
    <cellStyle name="Acoutput,, 2" xfId="5689" xr:uid="{00000000-0005-0000-0000-0000CC020000}"/>
    <cellStyle name="Acoutput,, 2 2" xfId="11387" xr:uid="{101A10E1-AF9F-457E-95D1-BEFD313C85C9}"/>
    <cellStyle name="Acoutput,, 3" xfId="10313" xr:uid="{696D9B94-CAFD-44A8-A2EA-78E5E37DDB74}"/>
    <cellStyle name="Acoutput,, 4" xfId="10370" xr:uid="{FAA81175-3B96-4C4C-A16C-A18C615C097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ershare 2 2" xfId="11388" xr:uid="{6F9EA80A-8ECB-4CF0-8C46-AC181A21296C}"/>
    <cellStyle name="Apershare 3" xfId="10312" xr:uid="{A476D0F9-49F5-4C93-A85A-16719F215F20}"/>
    <cellStyle name="Apershare 4" xfId="10368" xr:uid="{F5AE3259-7144-4F4B-A77C-60157DBCCCB7}"/>
    <cellStyle name="Aprice" xfId="1363" xr:uid="{00000000-0005-0000-0000-0000D3020000}"/>
    <cellStyle name="Aprice 2" xfId="5691" xr:uid="{00000000-0005-0000-0000-0000D4020000}"/>
    <cellStyle name="Aprice 2 2" xfId="11389" xr:uid="{5DEEF407-53BC-413A-9E48-E19A31F364A5}"/>
    <cellStyle name="Aprice 3" xfId="10311" xr:uid="{A7B14984-D671-4990-8375-68CBEB9052C7}"/>
    <cellStyle name="Aprice 4" xfId="10367" xr:uid="{94071004-4EE0-4149-8CD9-14E5C4067121}"/>
    <cellStyle name="ar" xfId="1364" xr:uid="{00000000-0005-0000-0000-0000D5020000}"/>
    <cellStyle name="ar 10" xfId="10588" xr:uid="{24078BDB-EA3B-4EEF-99B6-22461D17938C}"/>
    <cellStyle name="ar 11" xfId="10332" xr:uid="{FAB42D85-3CB9-4833-B787-85DBAF04E827}"/>
    <cellStyle name="ar 12" xfId="10593" xr:uid="{9F8A3C46-C406-42EC-8556-2636C7E26268}"/>
    <cellStyle name="ar 13" xfId="10345" xr:uid="{F58B2FC6-26D3-4CEF-9D71-6E2BFD9BE62F}"/>
    <cellStyle name="ar 14" xfId="10601" xr:uid="{D42983D7-AB7B-4F06-8671-D87A9EEDE153}"/>
    <cellStyle name="ar 15" xfId="10605" xr:uid="{1417B2DE-A410-4605-983D-AC2C5A18FC11}"/>
    <cellStyle name="ar 16" xfId="10356" xr:uid="{63073E95-40DE-45E3-8697-AD50BFC5CD47}"/>
    <cellStyle name="ar 17" xfId="10609" xr:uid="{0F3C11A8-496B-4AED-85EF-C2F22F31B6C1}"/>
    <cellStyle name="ar 18" xfId="10361" xr:uid="{89EC274D-51FA-4813-809C-96195CC2C866}"/>
    <cellStyle name="ar 19" xfId="10613" xr:uid="{A7D6DA5E-FB1A-4388-BC56-B7AB96DA9668}"/>
    <cellStyle name="ar 2" xfId="6863" xr:uid="{00000000-0005-0000-0000-0000D6020000}"/>
    <cellStyle name="ar 2 10" xfId="10129" xr:uid="{7C0ACCAE-E003-4FA0-934D-C091FB623FAA}"/>
    <cellStyle name="ar 2 11" xfId="10409" xr:uid="{00EE23EE-492A-49FB-908E-817E626276AB}"/>
    <cellStyle name="ar 2 12" xfId="10133" xr:uid="{07C25C3E-C0F1-47F1-9622-CAEB71029ED9}"/>
    <cellStyle name="ar 2 13" xfId="10136" xr:uid="{E75F6232-8AEE-47CB-BCFB-A7160D6DBEFE}"/>
    <cellStyle name="ar 2 14" xfId="10412" xr:uid="{A2299CA9-577B-47A5-BE55-2BE65C37C006}"/>
    <cellStyle name="ar 2 15" xfId="10139" xr:uid="{52BCD28E-1F03-492E-A812-F1F726D3AD6B}"/>
    <cellStyle name="ar 2 16" xfId="10415" xr:uid="{E4E9E479-E01B-47A1-B0A8-B8782265582C}"/>
    <cellStyle name="ar 2 17" xfId="10142" xr:uid="{9226E445-D70D-438D-A6F1-A27BFF30D695}"/>
    <cellStyle name="ar 2 18" xfId="10421" xr:uid="{067AD4BD-B705-426C-B8A8-8082646BA5B0}"/>
    <cellStyle name="ar 2 19" xfId="10145" xr:uid="{E75DA689-7B81-44E8-9937-561AFE659016}"/>
    <cellStyle name="ar 2 2" xfId="10427" xr:uid="{9E39C5CC-7ADC-4E02-A548-CED9345A2018}"/>
    <cellStyle name="ar 2 20" xfId="10418" xr:uid="{76FFBADB-AC7B-4094-B9EA-CEF79D637893}"/>
    <cellStyle name="ar 2 21" xfId="10148" xr:uid="{D963DA0F-22CB-4765-88F4-E4967CD15C66}"/>
    <cellStyle name="ar 2 22" xfId="10151" xr:uid="{8447CFAC-A20E-4E34-A42B-58DF3EB3E7EA}"/>
    <cellStyle name="ar 2 23" xfId="10156" xr:uid="{FC3F625C-E6C7-43AC-9729-3B46581ABB59}"/>
    <cellStyle name="ar 2 24" xfId="10424" xr:uid="{AA9A0A08-2241-404D-ADB7-6154ECC7963C}"/>
    <cellStyle name="ar 2 25" xfId="10157" xr:uid="{742C3580-16C6-4FB0-89CA-890CC22DF3F7}"/>
    <cellStyle name="ar 2 26" xfId="11408" xr:uid="{30B1570A-BE5E-438C-80F9-3F2BC60CDBA2}"/>
    <cellStyle name="ar 2 27" xfId="11405" xr:uid="{049EAB3F-E851-4200-90D8-E8D0832E1DCD}"/>
    <cellStyle name="ar 2 3" xfId="10403" xr:uid="{43351ABA-74D2-470B-B6ED-61549E12CEAB}"/>
    <cellStyle name="ar 2 4" xfId="10120" xr:uid="{6B9334C1-6B20-4ABA-861E-0D4EF3A092CF}"/>
    <cellStyle name="ar 2 5" xfId="10117" xr:uid="{B5016903-39AA-4FAE-9190-E61BE9A0CADE}"/>
    <cellStyle name="ar 2 6" xfId="10397" xr:uid="{3F361D6F-94A9-4650-BCAE-E145BE3ABD21}"/>
    <cellStyle name="ar 2 7" xfId="10124" xr:uid="{3DAF2EA1-376B-43DF-9166-10631A54D8A8}"/>
    <cellStyle name="ar 2 8" xfId="10407" xr:uid="{EB26A289-811E-4F97-A435-394081466345}"/>
    <cellStyle name="ar 2 9" xfId="10400" xr:uid="{90B4B4BA-0EED-4DF6-B2AA-F8DA2627FCDD}"/>
    <cellStyle name="ar 20" xfId="10614" xr:uid="{60AB1FBD-E40E-42B3-A4B2-CDABAE57D973}"/>
    <cellStyle name="ar 21" xfId="10618" xr:uid="{2EE87E31-9DFD-4566-A675-AFEF87B69ED6}"/>
    <cellStyle name="ar 22" xfId="10384" xr:uid="{C139B693-8C1D-41E9-9DB7-2D41A4970285}"/>
    <cellStyle name="ar 23" xfId="10620" xr:uid="{E92C3A04-1662-41BA-A948-17C1F98D733F}"/>
    <cellStyle name="ar 24" xfId="11376" xr:uid="{BBA8C77E-5341-4A6F-AC13-251E8A5F7909}"/>
    <cellStyle name="ar 25" xfId="11377" xr:uid="{8C783559-06EE-4F3B-86FA-E6C873688256}"/>
    <cellStyle name="ar 3" xfId="10091" xr:uid="{147BF110-62D9-4AE7-9A11-8628E6418147}"/>
    <cellStyle name="ar 4" xfId="10292" xr:uid="{67A0C604-804D-4C02-8C65-0234B642D61E}"/>
    <cellStyle name="ar 5" xfId="10572" xr:uid="{345AD5B1-A87B-4E0B-BF2B-02DF65A20FD1}"/>
    <cellStyle name="ar 6" xfId="10578" xr:uid="{542A3735-8900-46E3-A468-1DE8A4AA34B7}"/>
    <cellStyle name="ar 7" xfId="10310" xr:uid="{37437DFF-FFE0-45BC-9DCD-85CB6BBEE2EB}"/>
    <cellStyle name="ar 8" xfId="10326" xr:uid="{2FE10D50-2016-4F66-9955-00C2213A1E2B}"/>
    <cellStyle name="ar 9" xfId="10329" xr:uid="{5AF71F5C-B132-4281-928E-B62C35BEC6B6}"/>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and 2 2 2" xfId="11390" xr:uid="{C4B72910-A965-4A06-A403-1122F0B3A64F}"/>
    <cellStyle name="Band 2 3" xfId="10308" xr:uid="{91D2AC78-7CF7-480B-9ED8-CB7A6A3BBD59}"/>
    <cellStyle name="Band 2 4" xfId="10365" xr:uid="{658F9CD6-CBDD-47A9-999C-BAACC0B5783C}"/>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ld/Border 2 2" xfId="11072" xr:uid="{90B124BB-D759-4609-B22D-3049E676E84F}"/>
    <cellStyle name="Bold/Border 2 3" xfId="11391" xr:uid="{9C73DA24-ACCB-49DB-9470-3665BE225689}"/>
    <cellStyle name="Bold/Border 3" xfId="10582" xr:uid="{A39AAF74-27E1-4B75-8BF7-B8B659259EBD}"/>
    <cellStyle name="Bold/Border 4" xfId="10592" xr:uid="{3A4083A9-1814-4D48-BFC7-E72D0A8A8499}"/>
    <cellStyle name="Bold/Border 5" xfId="10348" xr:uid="{02702BA5-5311-4959-A030-884D6D1FD74A}"/>
    <cellStyle name="Bold/Border 6" xfId="10602" xr:uid="{1CA20875-B2ED-4178-BC22-C418BFA2BDDB}"/>
    <cellStyle name="Bold/Border 7" xfId="10355" xr:uid="{36E27FC0-6C4D-4025-8A41-DFCE10B2D172}"/>
    <cellStyle name="Bold/Border 8" xfId="10612" xr:uid="{C34B81F1-5F5E-4872-B30A-817B9D5541FF}"/>
    <cellStyle name="Border Heavy" xfId="1382" xr:uid="{00000000-0005-0000-0000-0000EB020000}"/>
    <cellStyle name="Border Thin" xfId="1383" xr:uid="{00000000-0005-0000-0000-0000EC020000}"/>
    <cellStyle name="Border Thin 2" xfId="10321" xr:uid="{FC89C4FE-EADA-425A-9D21-F8E7C34DF3A6}"/>
    <cellStyle name="Border Thin 3" xfId="10331" xr:uid="{D6ECA5D5-DA07-4CF4-99AE-D26AB2B5D972}"/>
    <cellStyle name="Border Thin 4" xfId="10596" xr:uid="{C2DAF5DF-BB6A-43C8-B90B-31457B830E47}"/>
    <cellStyle name="Border Thin 5" xfId="10598" xr:uid="{079D2194-DB0F-45C3-8C61-E0F79EB5F068}"/>
    <cellStyle name="Border Thin 6" xfId="10351" xr:uid="{102FBCA1-C582-4ABD-BFB0-E023D63468D1}"/>
    <cellStyle name="Border Thin 7" xfId="10364" xr:uid="{B4E17E24-7813-4375-88D5-BA1CEA22E59B}"/>
    <cellStyle name="Border, Bottom" xfId="1384" xr:uid="{00000000-0005-0000-0000-0000ED020000}"/>
    <cellStyle name="Border, Bottom 2" xfId="5694" xr:uid="{00000000-0005-0000-0000-0000EE020000}"/>
    <cellStyle name="Border, Bottom 2 2" xfId="11069" xr:uid="{0D716607-FBC0-4783-8D42-DA813C2BEC6C}"/>
    <cellStyle name="Border, Bottom 2 3" xfId="11392" xr:uid="{56696BB3-805A-404D-BBAF-2EB4AD2F8596}"/>
    <cellStyle name="Border, Bottom 3" xfId="10581" xr:uid="{959089EE-9326-4B5C-AF01-C58AA8309B55}"/>
    <cellStyle name="Border, Bottom 4" xfId="10591" xr:uid="{8DAD44AD-703F-4579-A2CF-3FDE238D58C7}"/>
    <cellStyle name="Border, Bottom 5" xfId="10347" xr:uid="{0BFC1F2F-430B-42D3-B610-7D19538E7497}"/>
    <cellStyle name="Border, Bottom 6" xfId="10600" xr:uid="{3BB4A0EB-A2FA-4CCD-AA2C-FDAC15ED9D9F}"/>
    <cellStyle name="Border, Bottom 7" xfId="10354" xr:uid="{5C51A9E7-3D3E-4DAB-9641-D6DCACE3C343}"/>
    <cellStyle name="Border, Bottom 8" xfId="10611" xr:uid="{2796AE93-7763-456E-BDF5-FE78B8C4155C}"/>
    <cellStyle name="Border, Left" xfId="1385" xr:uid="{00000000-0005-0000-0000-0000EF020000}"/>
    <cellStyle name="Border, Left 2" xfId="5695" xr:uid="{00000000-0005-0000-0000-0000F0020000}"/>
    <cellStyle name="Border, Left 2 2" xfId="11393" xr:uid="{E2844A08-888D-4869-A809-9735FBCC57FE}"/>
    <cellStyle name="Border, Left 3" xfId="10307" xr:uid="{976FB744-2189-4D75-A8A3-CBB947D1FF85}"/>
    <cellStyle name="Border, Left 4" xfId="10363" xr:uid="{C7C80277-53DC-4E91-BC17-4FF1A9382CB3}"/>
    <cellStyle name="Border, Right" xfId="1386" xr:uid="{00000000-0005-0000-0000-0000F1020000}"/>
    <cellStyle name="Border, Top" xfId="1387" xr:uid="{00000000-0005-0000-0000-0000F2020000}"/>
    <cellStyle name="Border, Top 10" xfId="10330" xr:uid="{1DED9DC7-6628-47FE-B9F4-76484FC0463B}"/>
    <cellStyle name="Border, Top 11" xfId="10589" xr:uid="{B9620BC3-DA3D-429A-AADC-411423E6D0C0}"/>
    <cellStyle name="Border, Top 12" xfId="10338" xr:uid="{87DD7010-6109-4521-B2DC-2E59FA832D62}"/>
    <cellStyle name="Border, Top 13" xfId="10344" xr:uid="{55016BC5-5318-4756-A22D-C17C66E11BC6}"/>
    <cellStyle name="Border, Top 14" xfId="10595" xr:uid="{8339FE56-BB3F-4977-97B4-B254D3D2E08B}"/>
    <cellStyle name="Border, Top 15" xfId="10350" xr:uid="{E132DEBF-2596-4048-8059-34285A285D33}"/>
    <cellStyle name="Border, Top 16" xfId="10353" xr:uid="{10C65F54-0F7E-4A51-9778-7D067B66CD94}"/>
    <cellStyle name="Border, Top 17" xfId="10604" xr:uid="{AD7A320E-4829-47E1-9038-F846694A8DAF}"/>
    <cellStyle name="Border, Top 18" xfId="10360" xr:uid="{A9A859F2-02A3-482F-BE6F-D5371424D57B}"/>
    <cellStyle name="Border, Top 19" xfId="10607" xr:uid="{0FE45551-6F27-4283-BDBC-E171749012F5}"/>
    <cellStyle name="Border, Top 2" xfId="10093" xr:uid="{89BD419C-4983-409D-9418-BD3FA19666B1}"/>
    <cellStyle name="Border, Top 20" xfId="10610" xr:uid="{6F032C9A-F1C7-4A7A-8900-4A22D16FB2DD}"/>
    <cellStyle name="Border, Top 21" xfId="10369" xr:uid="{887887D9-9C08-4CE5-A09B-17635994AAD1}"/>
    <cellStyle name="Border, Top 22" xfId="10617" xr:uid="{ACBE52DB-1CD5-4B1A-9368-81EA3261377F}"/>
    <cellStyle name="Border, Top 23" xfId="10375" xr:uid="{31A87506-30AC-4BC1-B407-E5937B9EEDC5}"/>
    <cellStyle name="Border, Top 24" xfId="11420" xr:uid="{F3D253CA-DB0F-4443-ACD2-07A6FDD3DD2D}"/>
    <cellStyle name="Border, Top 25" xfId="11375" xr:uid="{ED07FFCB-1C38-4994-BF7C-8264480D5F9F}"/>
    <cellStyle name="Border, Top 3" xfId="10291" xr:uid="{F48E8948-ED73-42EB-8C7E-B9BA628DCBAA}"/>
    <cellStyle name="Border, Top 4" xfId="10570" xr:uid="{0B679B49-0223-4E47-8738-19B274696480}"/>
    <cellStyle name="Border, Top 5" xfId="10299" xr:uid="{089A83CA-B33B-4215-8ECF-18AE03DB4EF7}"/>
    <cellStyle name="Border, Top 6" xfId="10306" xr:uid="{63210FEB-5453-4EA3-99AC-F49DE21E818D}"/>
    <cellStyle name="Border, Top 7" xfId="10576" xr:uid="{A9D0CE64-43AD-4043-B942-A1EFC6CF976E}"/>
    <cellStyle name="Border, Top 8" xfId="10580" xr:uid="{CC540C3A-EDB2-44BF-88AF-CB3ABDE28CA0}"/>
    <cellStyle name="Border, Top 9" xfId="10585" xr:uid="{4AC75D58-0F3D-4F31-A262-BC990CEBDF0E}"/>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 10" xfId="10328" xr:uid="{3E7CFD4A-A97A-4CD9-B166-9393AD3D801B}"/>
    <cellStyle name="Calcul 11" xfId="10587" xr:uid="{789AD28D-5B38-4664-8C2C-41A535501997}"/>
    <cellStyle name="Calcul 12" xfId="10336" xr:uid="{9F79CA63-2BD3-40D2-B313-830668661625}"/>
    <cellStyle name="Calcul 13" xfId="10342" xr:uid="{62739A45-8C9F-4778-B262-047B12EA01F5}"/>
    <cellStyle name="Calcul 14" xfId="10594" xr:uid="{4DC2BE65-4FBC-4574-8A9A-05ED43FDFA25}"/>
    <cellStyle name="Calcul 15" xfId="10349" xr:uid="{67721665-4C9F-4F12-AF6D-9669DBE8FC93}"/>
    <cellStyle name="Calcul 16" xfId="10352" xr:uid="{D1A16830-9B94-4CF2-B50C-FB9767315C91}"/>
    <cellStyle name="Calcul 17" xfId="10599" xr:uid="{6E39BF8B-3593-4981-9ADE-F4921D774F54}"/>
    <cellStyle name="Calcul 18" xfId="10359" xr:uid="{40732EDF-DFAB-4784-80E4-14B1D03E1289}"/>
    <cellStyle name="Calcul 19" xfId="10603" xr:uid="{8DB754C8-BDED-4796-BE04-59D958BD75B3}"/>
    <cellStyle name="Calcul 2" xfId="10095" xr:uid="{FB2E9164-75F0-4F70-8137-023CAF8FFEA1}"/>
    <cellStyle name="Calcul 20" xfId="10608" xr:uid="{2F1CA976-CC33-49D2-BCB7-0614FA268A25}"/>
    <cellStyle name="Calcul 21" xfId="10366" xr:uid="{C91421B1-25BC-45AF-9FB6-6DD1F9A7AC97}"/>
    <cellStyle name="Calcul 22" xfId="10615" xr:uid="{8A6049B0-2CF1-4029-AF76-1A5CCBD79F81}"/>
    <cellStyle name="Calcul 23" xfId="10374" xr:uid="{66245F7D-2289-4B8B-9248-E3644A1383D6}"/>
    <cellStyle name="Calcul 24" xfId="11373" xr:uid="{F8D3071A-1E5D-49C9-8984-4E70AA7F9F50}"/>
    <cellStyle name="Calcul 25" xfId="11419" xr:uid="{CCD72912-4DBE-424E-96B6-0520DAEA4AB7}"/>
    <cellStyle name="Calcul 26" xfId="11374" xr:uid="{14CFC01F-9685-4C65-A7A8-EA92B244BBE8}"/>
    <cellStyle name="Calcul 3" xfId="10289" xr:uid="{57C4EE04-3FB6-40D7-9624-E9AB35A92807}"/>
    <cellStyle name="Calcul 4" xfId="10569" xr:uid="{96EBBE92-B013-47A7-AD29-D9F535A5D4DA}"/>
    <cellStyle name="Calcul 5" xfId="10296" xr:uid="{18CD90D3-1B76-4B0F-9B22-0F67EFEC8700}"/>
    <cellStyle name="Calcul 6" xfId="10302" xr:uid="{EC5EDAED-8E75-44E2-9514-27DA8378C781}"/>
    <cellStyle name="Calcul 7" xfId="10574" xr:uid="{7FE4540E-3609-44A1-8492-46DBA47E9CD7}"/>
    <cellStyle name="Calcul 8" xfId="10577" xr:uid="{289607B6-1BDD-4F08-BC88-12E00C9A3E51}"/>
    <cellStyle name="Calcul 9" xfId="10583" xr:uid="{C58631F9-C682-48FA-A0CD-1E1B701BA985}"/>
    <cellStyle name="Calculation 2" xfId="36" xr:uid="{00000000-0005-0000-0000-0000FF020000}"/>
    <cellStyle name="Calculation 2 10" xfId="9745" xr:uid="{00000000-0005-0000-0000-000000030000}"/>
    <cellStyle name="Calculation 2 10 10" xfId="11017" xr:uid="{5E4C936D-99A6-4ACB-BC88-E10ECD9DF2D1}"/>
    <cellStyle name="Calculation 2 10 11" xfId="10700" xr:uid="{6D80CFF5-5B85-46EC-89C6-106402869C70}"/>
    <cellStyle name="Calculation 2 10 12" xfId="11088" xr:uid="{D033C4A0-8C67-4B55-93B9-40C62311E0F1}"/>
    <cellStyle name="Calculation 2 10 13" xfId="10712" xr:uid="{C6DC33BE-11C4-4AFF-BED2-ADC57FEC587C}"/>
    <cellStyle name="Calculation 2 10 14" xfId="11139" xr:uid="{8D3D613D-FE3F-4CCA-9666-1D272CD4DB39}"/>
    <cellStyle name="Calculation 2 10 15" xfId="11187" xr:uid="{9D017A77-09CB-44E5-A2AA-6D4F4B9F0930}"/>
    <cellStyle name="Calculation 2 10 16" xfId="11217" xr:uid="{17610163-9629-4EF2-9825-929B7839837A}"/>
    <cellStyle name="Calculation 2 10 17" xfId="10765" xr:uid="{5E3B032F-0E58-4CEA-9D0A-659CE6AFD01B}"/>
    <cellStyle name="Calculation 2 10 18" xfId="11269" xr:uid="{56F4CCC6-E983-4A03-80BB-A2D31E5FCEA0}"/>
    <cellStyle name="Calculation 2 10 19" xfId="11295" xr:uid="{2FFB1138-D421-45A6-A35D-6FEE053D37B4}"/>
    <cellStyle name="Calculation 2 10 2" xfId="10636" xr:uid="{F8D4FE5A-6DC1-46D3-B961-D7E203D76BE8}"/>
    <cellStyle name="Calculation 2 10 20" xfId="11341" xr:uid="{E2463858-F01E-4071-96EE-C8BA5A2148FA}"/>
    <cellStyle name="Calculation 2 10 21" xfId="11448" xr:uid="{409D81C5-6B0A-43EB-99E9-1FB2F0D2DD95}"/>
    <cellStyle name="Calculation 2 10 22" xfId="11466" xr:uid="{927AFCDE-E2C9-4A5C-8339-202F19F0D980}"/>
    <cellStyle name="Calculation 2 10 3" xfId="10791" xr:uid="{1A0B6BB7-C928-467D-9EEB-3A72156F87FC}"/>
    <cellStyle name="Calculation 2 10 4" xfId="10833" xr:uid="{13E23E04-2486-4099-9174-5FB4862FE483}"/>
    <cellStyle name="Calculation 2 10 5" xfId="10861" xr:uid="{3326BDA5-2EA8-4028-8F70-1792904663DD}"/>
    <cellStyle name="Calculation 2 10 6" xfId="10662" xr:uid="{DB352241-F56D-4F69-89CD-8E7E8078578A}"/>
    <cellStyle name="Calculation 2 10 7" xfId="10924" xr:uid="{3D2C5797-F10F-41FD-B188-64D0C440152C}"/>
    <cellStyle name="Calculation 2 10 8" xfId="10680" xr:uid="{C6B3E08D-616E-4325-86DC-5F3DC1399653}"/>
    <cellStyle name="Calculation 2 10 9" xfId="10979" xr:uid="{DDE7230E-2FC4-4E6A-9162-050B8A8598E4}"/>
    <cellStyle name="Calculation 2 11" xfId="10752" xr:uid="{9060D564-2655-4175-B861-51D696EF7222}"/>
    <cellStyle name="Calculation 2 12" xfId="10832" xr:uid="{587EC7A7-A9CD-447C-A8B8-5D2680524A3F}"/>
    <cellStyle name="Calculation 2 13" xfId="10953" xr:uid="{36B8DDFB-F41E-47D3-B10B-A5F862A3200E}"/>
    <cellStyle name="Calculation 2 14" xfId="11016" xr:uid="{78572BB8-BEF3-47F8-B3F7-C9D7EBEE577E}"/>
    <cellStyle name="Calculation 2 15" xfId="11066" xr:uid="{5FCD2209-447A-4E50-8424-A3B3ED2A00D1}"/>
    <cellStyle name="Calculation 2 16" xfId="11113" xr:uid="{20681260-F064-4C4D-A2B8-382E0CF9D409}"/>
    <cellStyle name="Calculation 2 17" xfId="11242" xr:uid="{91CB1EF1-05E5-41F6-AEFD-265F5AC27CB7}"/>
    <cellStyle name="Calculation 2 18" xfId="11268" xr:uid="{C210D36C-D245-4AC4-BC15-3A3AE7DFC2E2}"/>
    <cellStyle name="Calculation 2 2" xfId="64" xr:uid="{00000000-0005-0000-0000-000001030000}"/>
    <cellStyle name="Calculation 2 2 10" xfId="11182" xr:uid="{632546BB-FEB5-448D-8943-BA9DBE73616E}"/>
    <cellStyle name="Calculation 2 2 11" xfId="11249" xr:uid="{EE75F031-A844-4EE9-9D29-BB0D8E0799AC}"/>
    <cellStyle name="Calculation 2 2 2" xfId="84" xr:uid="{00000000-0005-0000-0000-000002030000}"/>
    <cellStyle name="Calculation 2 2 2 10" xfId="11204" xr:uid="{85D3AE93-4E16-47AD-B003-4B7A67BCD9BB}"/>
    <cellStyle name="Calculation 2 2 2 2" xfId="9766" xr:uid="{00000000-0005-0000-0000-000003030000}"/>
    <cellStyle name="Calculation 2 2 2 2 10" xfId="11037" xr:uid="{EB82C7C2-3F12-4A8A-83E8-1584F5E184AC}"/>
    <cellStyle name="Calculation 2 2 2 2 11" xfId="11074" xr:uid="{AFED4425-A943-4C5A-AB4F-ACCA3063EEB2}"/>
    <cellStyle name="Calculation 2 2 2 2 12" xfId="11106" xr:uid="{FC35D5ED-9D5C-4A0C-AF2D-4463A59441AE}"/>
    <cellStyle name="Calculation 2 2 2 2 13" xfId="11131" xr:uid="{D0809AE6-E07C-4629-9E62-7302891A5690}"/>
    <cellStyle name="Calculation 2 2 2 2 14" xfId="11157" xr:uid="{7C91DE03-4409-4B92-B6EA-497EB8055972}"/>
    <cellStyle name="Calculation 2 2 2 2 15" xfId="11207" xr:uid="{3DE9C04E-B79F-4D65-9D53-2A6A306511CF}"/>
    <cellStyle name="Calculation 2 2 2 2 16" xfId="11235" xr:uid="{8FD45478-92CC-4BE9-A640-5A12B4529756}"/>
    <cellStyle name="Calculation 2 2 2 2 17" xfId="11264" xr:uid="{757D771C-B843-45FD-8D66-6EB8F64ECEF1}"/>
    <cellStyle name="Calculation 2 2 2 2 18" xfId="11289" xr:uid="{38A148D3-FE54-4CCA-BB97-11120AC60666}"/>
    <cellStyle name="Calculation 2 2 2 2 19" xfId="11315" xr:uid="{3C01ADBD-2ED4-485C-9052-C116F04EB728}"/>
    <cellStyle name="Calculation 2 2 2 2 2" xfId="10625" xr:uid="{9A296A00-5B2B-4419-A619-EC39027B4F4A}"/>
    <cellStyle name="Calculation 2 2 2 2 20" xfId="11442" xr:uid="{11F40548-BB26-42F4-85E1-C99F895CC726}"/>
    <cellStyle name="Calculation 2 2 2 2 21" xfId="11462" xr:uid="{B2863063-F84F-47BC-9A17-25D18E1A1D16}"/>
    <cellStyle name="Calculation 2 2 2 2 22" xfId="11486" xr:uid="{E5CDB32B-D23D-4D6B-8B78-4E83DE47EF8B}"/>
    <cellStyle name="Calculation 2 2 2 2 3" xfId="10811" xr:uid="{950E43C9-1D73-469A-9436-C7FC7E14A359}"/>
    <cellStyle name="Calculation 2 2 2 2 4" xfId="10853" xr:uid="{F8CC7396-8433-4A5E-A23C-D7D4ED1EBAB9}"/>
    <cellStyle name="Calculation 2 2 2 2 5" xfId="10881" xr:uid="{E4F82F66-85C4-4B6A-AE20-58339AAA14C7}"/>
    <cellStyle name="Calculation 2 2 2 2 6" xfId="10896" xr:uid="{84D9FE73-3015-4C05-A6ED-8C4111905679}"/>
    <cellStyle name="Calculation 2 2 2 2 7" xfId="10944" xr:uid="{4DA94E3A-9458-4748-9089-25DC4A151D93}"/>
    <cellStyle name="Calculation 2 2 2 2 8" xfId="10975" xr:uid="{0AA3BD7D-1280-49D7-8D59-335FDB5CD934}"/>
    <cellStyle name="Calculation 2 2 2 2 9" xfId="11000" xr:uid="{89852D39-D79F-4800-9F6B-1BCEA089FBE3}"/>
    <cellStyle name="Calculation 2 2 2 3" xfId="10727" xr:uid="{4F0FA12F-F475-4427-B367-A0DB5D0DD48A}"/>
    <cellStyle name="Calculation 2 2 2 4" xfId="10783" xr:uid="{084520F2-2F04-4817-97CA-BA3436557F0D}"/>
    <cellStyle name="Calculation 2 2 2 5" xfId="10907" xr:uid="{05862C83-9FC9-4990-BDA3-903B0DBA1322}"/>
    <cellStyle name="Calculation 2 2 2 6" xfId="10963" xr:uid="{F544BF08-0DB0-4B14-8126-E3AE8B9B5403}"/>
    <cellStyle name="Calculation 2 2 2 7" xfId="11048" xr:uid="{5DAE67D0-A67C-4C35-8D4D-1C1827BC2B2D}"/>
    <cellStyle name="Calculation 2 2 2 8" xfId="11081" xr:uid="{CA1FFF3F-9FFE-43B2-BA7C-DA82199D0ECD}"/>
    <cellStyle name="Calculation 2 2 2 9" xfId="11170" xr:uid="{81C5E9B9-B640-46D8-A0B0-5AC32DF6B023}"/>
    <cellStyle name="Calculation 2 2 3" xfId="9752" xr:uid="{00000000-0005-0000-0000-000004030000}"/>
    <cellStyle name="Calculation 2 2 3 10" xfId="11023" xr:uid="{D28F2F4C-D394-4910-9A00-026F9A3FF17F}"/>
    <cellStyle name="Calculation 2 2 3 11" xfId="10706" xr:uid="{D27A922D-22D2-4882-9CF1-7992F4E1485B}"/>
    <cellStyle name="Calculation 2 2 3 12" xfId="11094" xr:uid="{B587292B-8020-46C4-8240-B403FEA0B649}"/>
    <cellStyle name="Calculation 2 2 3 13" xfId="11117" xr:uid="{870AC480-76A8-4A88-B4FE-B292EBA00066}"/>
    <cellStyle name="Calculation 2 2 3 14" xfId="11145" xr:uid="{97DBCDEE-97E3-47E0-AFA1-C086A8DAD18A}"/>
    <cellStyle name="Calculation 2 2 3 15" xfId="11193" xr:uid="{288BF04F-FCCF-42CD-B2B1-B7D692312F5E}"/>
    <cellStyle name="Calculation 2 2 3 16" xfId="11223" xr:uid="{ECDA458F-0727-448C-9E2B-13D956CFD417}"/>
    <cellStyle name="Calculation 2 2 3 17" xfId="10721" xr:uid="{C1438984-17DA-428C-940C-F27B6606B50D}"/>
    <cellStyle name="Calculation 2 2 3 18" xfId="11275" xr:uid="{17D10D54-4DF9-4995-9F6D-5BDC9B1F5334}"/>
    <cellStyle name="Calculation 2 2 3 19" xfId="11301" xr:uid="{740BBC59-893B-41EF-9563-28A94DBC302F}"/>
    <cellStyle name="Calculation 2 2 3 2" xfId="10641" xr:uid="{6F856489-CB00-4E30-9A6B-54AF03D0C7EB}"/>
    <cellStyle name="Calculation 2 2 3 20" xfId="11430" xr:uid="{F1094624-B794-49E4-AC47-97BDA2BF8908}"/>
    <cellStyle name="Calculation 2 2 3 21" xfId="11452" xr:uid="{0AC55939-A0D1-4081-BA02-6ECA8C1B82EA}"/>
    <cellStyle name="Calculation 2 2 3 22" xfId="11472" xr:uid="{4D135D12-6AD0-4AF8-88B6-D100BE245A3F}"/>
    <cellStyle name="Calculation 2 2 3 3" xfId="10797" xr:uid="{510D0645-9E5A-49DF-BB4C-098FC7129184}"/>
    <cellStyle name="Calculation 2 2 3 4" xfId="10839" xr:uid="{6A1FACD2-FA9F-4D24-8CF4-7ACD6F8CDCF9}"/>
    <cellStyle name="Calculation 2 2 3 5" xfId="10867" xr:uid="{B64E00BD-D664-4F29-81E3-8286FEE04C15}"/>
    <cellStyle name="Calculation 2 2 3 6" xfId="10668" xr:uid="{64E73DD1-B36B-47B9-87DA-A602D93B7958}"/>
    <cellStyle name="Calculation 2 2 3 7" xfId="10930" xr:uid="{4CBB25AB-E42E-4149-A2ED-C0545ECE83B7}"/>
    <cellStyle name="Calculation 2 2 3 8" xfId="10676" xr:uid="{BE51F488-FC63-4DFF-AB78-9F407BA51E46}"/>
    <cellStyle name="Calculation 2 2 3 9" xfId="10986" xr:uid="{31F9AB9A-4AE4-428B-BCDD-F799D8A74328}"/>
    <cellStyle name="Calculation 2 2 4" xfId="10739" xr:uid="{DA3E2038-332F-4D27-B995-6D003018D6E4}"/>
    <cellStyle name="Calculation 2 2 5" xfId="10823" xr:uid="{1FF7A470-AA94-459F-8FB7-D94FAB357049}"/>
    <cellStyle name="Calculation 2 2 6" xfId="10919" xr:uid="{B201BE96-BBC8-4E71-BE61-A9C6B47F3DA9}"/>
    <cellStyle name="Calculation 2 2 7" xfId="11010" xr:uid="{F3708588-DCB4-49EF-BEC9-7244C548E857}"/>
    <cellStyle name="Calculation 2 2 8" xfId="11060" xr:uid="{69CEEB8D-71AA-4505-84BA-EEB840C03E45}"/>
    <cellStyle name="Calculation 2 2 9" xfId="11085" xr:uid="{966E4AB4-47F8-40E1-AE5B-10FA21364918}"/>
    <cellStyle name="Calculation 2 3" xfId="78" xr:uid="{00000000-0005-0000-0000-000005030000}"/>
    <cellStyle name="Calculation 2 3 10" xfId="11216" xr:uid="{F2E0ABC0-F024-4CBA-9124-D1FC43F12EB1}"/>
    <cellStyle name="Calculation 2 3 2" xfId="9760" xr:uid="{00000000-0005-0000-0000-000006030000}"/>
    <cellStyle name="Calculation 2 3 2 10" xfId="11031" xr:uid="{9657087A-942C-4D79-8FEF-1438FDCA1212}"/>
    <cellStyle name="Calculation 2 3 2 11" xfId="10692" xr:uid="{8FB14E97-D0D5-4F41-B512-DF9FC03E5312}"/>
    <cellStyle name="Calculation 2 3 2 12" xfId="11100" xr:uid="{8245BD09-53A1-44AC-ADF2-C9D1F573F75A}"/>
    <cellStyle name="Calculation 2 3 2 13" xfId="11125" xr:uid="{81144286-8C37-4B9E-B035-9DDF8734DC6B}"/>
    <cellStyle name="Calculation 2 3 2 14" xfId="11151" xr:uid="{418EE5D8-6448-405B-A64D-6D0BFBD89E80}"/>
    <cellStyle name="Calculation 2 3 2 15" xfId="11201" xr:uid="{7B9F9495-5D4F-4263-B453-33F82EEF078B}"/>
    <cellStyle name="Calculation 2 3 2 16" xfId="11229" xr:uid="{E4A1FEB8-A16E-4EBE-8507-6F7F19B4C81B}"/>
    <cellStyle name="Calculation 2 3 2 17" xfId="11260" xr:uid="{CB935852-764D-42E2-8107-8A393F356C7D}"/>
    <cellStyle name="Calculation 2 3 2 18" xfId="11283" xr:uid="{782B2A11-6416-4C8B-8C7E-6F3E21E2A7CE}"/>
    <cellStyle name="Calculation 2 3 2 19" xfId="11309" xr:uid="{349307EA-2912-4312-993F-601C0564821D}"/>
    <cellStyle name="Calculation 2 3 2 2" xfId="10629" xr:uid="{D490D5D9-F4B2-4451-8356-85079FB9C078}"/>
    <cellStyle name="Calculation 2 3 2 20" xfId="11436" xr:uid="{45298977-54C8-4E0D-9AD2-3D9CC8C17F28}"/>
    <cellStyle name="Calculation 2 3 2 21" xfId="11458" xr:uid="{C4545F6A-805B-4C79-8A4C-1CFC24A961F3}"/>
    <cellStyle name="Calculation 2 3 2 22" xfId="11480" xr:uid="{ECAE5DBC-7D0B-4EF4-99CA-54A46C6DCECC}"/>
    <cellStyle name="Calculation 2 3 2 3" xfId="10805" xr:uid="{C62816E9-8469-4B32-BDC7-F9CC5ACEB649}"/>
    <cellStyle name="Calculation 2 3 2 4" xfId="10847" xr:uid="{ABF371C8-E5BE-45C4-A586-FBF53429543B}"/>
    <cellStyle name="Calculation 2 3 2 5" xfId="10875" xr:uid="{1F1CC3F0-64B2-4C9F-9C05-3D143091B226}"/>
    <cellStyle name="Calculation 2 3 2 6" xfId="10654" xr:uid="{9A163EE4-A3F6-48CD-BBFB-390010D94793}"/>
    <cellStyle name="Calculation 2 3 2 7" xfId="10938" xr:uid="{65594D4C-776B-4D46-A6EA-078AB3F6AF95}"/>
    <cellStyle name="Calculation 2 3 2 8" xfId="10971" xr:uid="{30E8E1DF-8061-4873-8227-0EFE4682AD0C}"/>
    <cellStyle name="Calculation 2 3 2 9" xfId="10994" xr:uid="{F6B9804F-244D-49DE-A3A6-7D26D9824F7D}"/>
    <cellStyle name="Calculation 2 3 3" xfId="10733" xr:uid="{A177606B-7CCA-41C4-AF21-2954BFBE93DF}"/>
    <cellStyle name="Calculation 2 3 4" xfId="10789" xr:uid="{25BA3023-C56A-4162-AE21-4ED79EA5773A}"/>
    <cellStyle name="Calculation 2 3 5" xfId="10913" xr:uid="{B89EE402-1B7B-4DBF-9B7F-D554C1FC775E}"/>
    <cellStyle name="Calculation 2 3 6" xfId="10969" xr:uid="{91A47C53-EF80-4A4D-BAF7-19DD2B3C37DB}"/>
    <cellStyle name="Calculation 2 3 7" xfId="11054" xr:uid="{14DE7DAC-80F1-4472-85B1-85C4C7DA2B03}"/>
    <cellStyle name="Calculation 2 3 8" xfId="11083" xr:uid="{B08079CD-9A7C-471C-A6CD-86D431B5726C}"/>
    <cellStyle name="Calculation 2 3 9" xfId="11176" xr:uid="{48B72B62-B69A-429D-A81F-15013296AC8C}"/>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mentaire 10" xfId="10559" xr:uid="{AD831DF9-4DE7-4C8E-9447-D080D72F012A}"/>
    <cellStyle name="Commentaire 11" xfId="10290" xr:uid="{4284306D-BAA2-4F18-8F51-DAA417414DFE}"/>
    <cellStyle name="Commentaire 12" xfId="10298" xr:uid="{66A6BF89-358E-416B-92F0-FC083405F228}"/>
    <cellStyle name="Commentaire 13" xfId="10560" xr:uid="{FF937B8D-4113-40D8-959B-07FC9EEB7252}"/>
    <cellStyle name="Commentaire 14" xfId="10309" xr:uid="{1ECBA812-F8C0-463D-A1AC-0B1B1131E3DA}"/>
    <cellStyle name="Commentaire 15" xfId="10318" xr:uid="{F74899D2-B5D8-4650-BC7E-D1F4C01953DE}"/>
    <cellStyle name="Commentaire 16" xfId="10565" xr:uid="{1CB4ECEF-BA39-4A4D-B810-1D8A5D94398E}"/>
    <cellStyle name="Commentaire 17" xfId="10567" xr:uid="{68D4E4AA-116D-4B4C-9259-B440119A141D}"/>
    <cellStyle name="Commentaire 18" xfId="10333" xr:uid="{3A8FA93A-DC39-4A0D-B17A-BE6489111E36}"/>
    <cellStyle name="Commentaire 19" xfId="10573" xr:uid="{5C381BAD-8B8B-479D-9B07-8277E6414FCB}"/>
    <cellStyle name="Commentaire 2" xfId="10097" xr:uid="{27F861D6-D5C9-4E81-8306-AC1B61486ED4}"/>
    <cellStyle name="Commentaire 20" xfId="10341" xr:uid="{C943343F-A13E-488F-91A5-6F0A0856E274}"/>
    <cellStyle name="Commentaire 21" xfId="11370" xr:uid="{4A128598-5117-4CFE-859C-F1A3BBF3B71E}"/>
    <cellStyle name="Commentaire 22" xfId="11372" xr:uid="{4CF9C0F0-3BD0-4ECA-8D3D-DC75D157F9BB}"/>
    <cellStyle name="Commentaire 3" xfId="10274" xr:uid="{3150AAC3-467D-40E4-8F3E-557E010D34AD}"/>
    <cellStyle name="Commentaire 4" xfId="10546" xr:uid="{D0AD3322-E96A-41F7-ADD3-85FC04609700}"/>
    <cellStyle name="Commentaire 5" xfId="10277" xr:uid="{4BE17CF9-879D-48A9-9DA3-C9C71248BB3D}"/>
    <cellStyle name="Commentaire 6" xfId="10279" xr:uid="{CF77B369-22BC-424B-A85D-8B540D8E1657}"/>
    <cellStyle name="Commentaire 7" xfId="10548" xr:uid="{580D1002-4624-4C64-8B80-0EC40C4EA7C4}"/>
    <cellStyle name="Commentaire 8" xfId="10551" xr:uid="{F98AFCB9-4202-4D25-B735-BE7D4FA41A74}"/>
    <cellStyle name="Commentaire 9" xfId="10552" xr:uid="{8988D9DD-39BC-4A86-B093-5B3D6D4BF8DB}"/>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10" xfId="10557" xr:uid="{D301FD9C-292A-4509-95FB-E63E23370B9D}"/>
    <cellStyle name="Currency [2] 11" xfId="10288" xr:uid="{BFDBE961-C54D-4ECB-8E4B-2B54236ABA1A}"/>
    <cellStyle name="Currency [2] 12" xfId="10558" xr:uid="{18F693EE-43A1-4BE1-B2BE-F029344F50EF}"/>
    <cellStyle name="Currency [2] 13" xfId="10294" xr:uid="{A0D78B45-3812-4CC0-98B1-D86D118D5701}"/>
    <cellStyle name="Currency [2] 14" xfId="10562" xr:uid="{132848A0-5EEC-4658-ADD6-C4FE3A3BFE60}"/>
    <cellStyle name="Currency [2] 15" xfId="10563" xr:uid="{ABF77E98-4BA3-43B5-8ED3-93AFA9BA8641}"/>
    <cellStyle name="Currency [2] 16" xfId="10317" xr:uid="{1390064A-5AA8-4C79-83D1-260804755B62}"/>
    <cellStyle name="Currency [2] 17" xfId="10564" xr:uid="{569069DF-1275-4E12-8F06-9BFEE41D2FCD}"/>
    <cellStyle name="Currency [2] 18" xfId="10325" xr:uid="{66CAE4A6-5014-4479-B38D-DAE123DBB4FE}"/>
    <cellStyle name="Currency [2] 19" xfId="10566" xr:uid="{CF317A48-7A37-4AEC-A1C3-299A02337E9C}"/>
    <cellStyle name="Currency [2] 2" xfId="6862" xr:uid="{00000000-0005-0000-0000-000018040000}"/>
    <cellStyle name="Currency [2] 2 10" xfId="10128" xr:uid="{E320D9B1-3E93-44F3-B9E5-3938F1664058}"/>
    <cellStyle name="Currency [2] 2 11" xfId="10408" xr:uid="{E9C482C6-1562-429D-9F0D-D9D52D897AC8}"/>
    <cellStyle name="Currency [2] 2 12" xfId="10132" xr:uid="{4CBFE8AB-21F2-4297-99F9-0290BFFB3E92}"/>
    <cellStyle name="Currency [2] 2 13" xfId="10135" xr:uid="{543EBC54-FD74-43DC-A7B6-89FF6A0545CD}"/>
    <cellStyle name="Currency [2] 2 14" xfId="10411" xr:uid="{F21B895E-3387-4494-9646-BEC61B96DD1B}"/>
    <cellStyle name="Currency [2] 2 15" xfId="10138" xr:uid="{4E52A917-5277-4EBC-A722-533D0ACC66AF}"/>
    <cellStyle name="Currency [2] 2 16" xfId="10414" xr:uid="{5DE8416E-E98A-44DE-B865-50C873AD1A1C}"/>
    <cellStyle name="Currency [2] 2 17" xfId="10141" xr:uid="{1F918869-FC84-4EC0-9467-ABD223D75F61}"/>
    <cellStyle name="Currency [2] 2 18" xfId="10420" xr:uid="{67FA873A-5FAC-426C-92E0-91B11E15AA49}"/>
    <cellStyle name="Currency [2] 2 19" xfId="10144" xr:uid="{9591767E-B4B7-419D-AC9C-7F6CE1C84CF9}"/>
    <cellStyle name="Currency [2] 2 2" xfId="10426" xr:uid="{932806FC-0704-4E20-904A-AF7398640277}"/>
    <cellStyle name="Currency [2] 2 20" xfId="10417" xr:uid="{45F06E6D-CD29-4B02-80AA-3A856BA55AE1}"/>
    <cellStyle name="Currency [2] 2 21" xfId="10147" xr:uid="{0F774A19-7485-4B35-8321-71600B2F37F3}"/>
    <cellStyle name="Currency [2] 2 22" xfId="10150" xr:uid="{26B914FB-D896-4D87-9BED-8FF0E3016A8F}"/>
    <cellStyle name="Currency [2] 2 23" xfId="10155" xr:uid="{1BE8CD68-C9DE-432C-B510-CA725DA04694}"/>
    <cellStyle name="Currency [2] 2 24" xfId="10423" xr:uid="{4BA7CEC6-B434-4411-AEF8-0247BAC27A29}"/>
    <cellStyle name="Currency [2] 2 25" xfId="10153" xr:uid="{F3B7C36B-1A64-4D6B-83E1-6A0114FE77E7}"/>
    <cellStyle name="Currency [2] 2 26" xfId="11407" xr:uid="{EAEC04D2-0A4F-491A-9D85-2CB5D425A5EE}"/>
    <cellStyle name="Currency [2] 2 27" xfId="11404" xr:uid="{2B09F7D7-B481-4E12-8125-F123F805EA55}"/>
    <cellStyle name="Currency [2] 2 3" xfId="10402" xr:uid="{158DFACC-F09F-4551-A4E4-0ED429BC9AF5}"/>
    <cellStyle name="Currency [2] 2 4" xfId="10119" xr:uid="{195DEAC4-57A1-4299-9F42-DE64578A2811}"/>
    <cellStyle name="Currency [2] 2 5" xfId="10116" xr:uid="{378D11A5-4261-4929-87EB-0EAB287B0722}"/>
    <cellStyle name="Currency [2] 2 6" xfId="10396" xr:uid="{567B14BA-039D-4F88-8471-128259D8DE36}"/>
    <cellStyle name="Currency [2] 2 7" xfId="10123" xr:uid="{266F2AAE-4A70-45FB-8753-1BC587E8F94A}"/>
    <cellStyle name="Currency [2] 2 8" xfId="10406" xr:uid="{C4D3E36E-A8E2-41C6-B670-358EAB5A5AC4}"/>
    <cellStyle name="Currency [2] 2 9" xfId="10399" xr:uid="{67F01D7E-6EFF-499D-B84A-044B1DE05B19}"/>
    <cellStyle name="Currency [2] 20" xfId="10568" xr:uid="{3743108D-85BB-48D7-8831-24594ECBF20C}"/>
    <cellStyle name="Currency [2] 21" xfId="10571" xr:uid="{E791EAB7-2F39-4BB8-996B-325D6FB67552}"/>
    <cellStyle name="Currency [2] 22" xfId="10339" xr:uid="{12DC77B4-B1B5-4FCE-8551-BCF8D529FB98}"/>
    <cellStyle name="Currency [2] 23" xfId="10579" xr:uid="{51DDD2E6-8780-402F-B22E-1826CDF6D770}"/>
    <cellStyle name="Currency [2] 24" xfId="11369" xr:uid="{2C3959C6-4B8C-48D8-B8F1-044B9BDD7B65}"/>
    <cellStyle name="Currency [2] 25" xfId="11371" xr:uid="{18274215-AD87-43C4-85BD-54BFCCACB267}"/>
    <cellStyle name="Currency [2] 3" xfId="10098" xr:uid="{AE3FC524-E09F-428C-BBDB-383D42915E52}"/>
    <cellStyle name="Currency [2] 4" xfId="10273" xr:uid="{609E6957-8C77-428C-B1CF-EB9BAFAAA2C8}"/>
    <cellStyle name="Currency [2] 5" xfId="10545" xr:uid="{33CA6B15-45DB-449D-A16A-8FD93DB384C4}"/>
    <cellStyle name="Currency [2] 6" xfId="10547" xr:uid="{BD578DB4-0BA2-466F-9F63-63A48166113E}"/>
    <cellStyle name="Currency [2] 7" xfId="10278" xr:uid="{B10DC7AE-4280-41A3-93ED-5A6328087924}"/>
    <cellStyle name="Currency [2] 8" xfId="10283" xr:uid="{2355876B-0BC4-40C1-98D1-6C90EE1734BB}"/>
    <cellStyle name="Currency [2] 9" xfId="10286" xr:uid="{BE6D8249-00D2-4E6E-B7E0-4A5576B76867}"/>
    <cellStyle name="Currency [3]" xfId="1655" xr:uid="{00000000-0005-0000-0000-000019040000}"/>
    <cellStyle name="Currency 0" xfId="1656" xr:uid="{00000000-0005-0000-0000-00001A040000}"/>
    <cellStyle name="Currency 10" xfId="1657" xr:uid="{00000000-0005-0000-0000-00001B040000}"/>
    <cellStyle name="Currency-- 10" xfId="10487" xr:uid="{05D003F8-2159-4625-85C4-69C26DF3F10A}"/>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xfId="10209" xr:uid="{C0341CA9-C0E0-4AF3-9CFB-77727DCF5E95}"/>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2" xfId="10492" xr:uid="{B4B938C1-4F06-43F5-BB25-E81EE68D4104}"/>
    <cellStyle name="Currency 13" xfId="1706" xr:uid="{00000000-0005-0000-0000-00004C040000}"/>
    <cellStyle name="Currency-- 13" xfId="10216" xr:uid="{D94F6A59-E3F7-4ECC-98AB-B11F5EC4C594}"/>
    <cellStyle name="Currency 14" xfId="1707" xr:uid="{00000000-0005-0000-0000-00004D040000}"/>
    <cellStyle name="Currency-- 14" xfId="10497" xr:uid="{68987892-0055-48E7-8D2F-AFEA3A6A45FA}"/>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xfId="10222" xr:uid="{F4415141-1784-47F4-AC79-74DCCBEC5E57}"/>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xfId="10503" xr:uid="{EDC6AA9E-9E0D-41F2-9B3E-463E41C89E65}"/>
    <cellStyle name="Currency 16 2" xfId="1748" xr:uid="{00000000-0005-0000-0000-000076040000}"/>
    <cellStyle name="Currency 17" xfId="1749" xr:uid="{00000000-0005-0000-0000-000077040000}"/>
    <cellStyle name="Currency-- 17" xfId="10230" xr:uid="{6FA06BE7-152C-4BA6-A97F-49D188E480CC}"/>
    <cellStyle name="Currency 18" xfId="1750" xr:uid="{00000000-0005-0000-0000-000078040000}"/>
    <cellStyle name="Currency-- 18" xfId="10508" xr:uid="{4BE1BC7C-C4DC-40A1-ACA6-CB92A78E31B9}"/>
    <cellStyle name="Currency 19" xfId="1751" xr:uid="{00000000-0005-0000-0000-000079040000}"/>
    <cellStyle name="Currency-- 19" xfId="10234" xr:uid="{B65C799F-6288-42A7-816F-84428E0A47B6}"/>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xfId="10493" xr:uid="{1D0BBB6F-3F61-4BE5-A2A9-AD5D7E5164FD}"/>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xfId="10511" xr:uid="{1B027EC8-A5CC-4C4F-BE40-792A89AF3FBA}"/>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xfId="10241" xr:uid="{B970D717-94F5-4B4C-8799-D8299B9B98E3}"/>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xfId="10520" xr:uid="{ED59BF0B-BA48-4C00-83DF-8B99B2BDE335}"/>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xfId="10247" xr:uid="{DD5CCDC6-484B-4692-92D0-17C2FBC5B694}"/>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xfId="10522" xr:uid="{80AF95B0-044C-4391-87CC-5A446E49BDD7}"/>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5" xfId="10252" xr:uid="{8168F428-D46B-41A2-94E1-6D8717291439}"/>
    <cellStyle name="Currency 26" xfId="1932" xr:uid="{00000000-0005-0000-0000-00002F050000}"/>
    <cellStyle name="Currency-- 26" xfId="10525" xr:uid="{F486ABFA-6657-4F79-9058-D64957B1A404}"/>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xfId="10258" xr:uid="{68ACD7BF-D68F-42CE-AA30-88AF0414A776}"/>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xfId="10528" xr:uid="{513171B0-1C22-4180-9DCA-1805CE712CF9}"/>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xfId="10268" xr:uid="{BD121DDB-B4A8-4314-95D8-8067421F60FE}"/>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xfId="10179" xr:uid="{BD0EC4B4-088E-472F-8558-263C0E8FE336}"/>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30" xfId="10530" xr:uid="{3BEC4655-6C0C-4E00-898C-53FD30FF463E}"/>
    <cellStyle name="Currency-- 31" xfId="10270" xr:uid="{D522336A-98AB-4045-AD56-BBF00BFE1E57}"/>
    <cellStyle name="Currency-- 32" xfId="10532" xr:uid="{CF0C4929-0DA6-4A87-BFE8-FFE78238FAE6}"/>
    <cellStyle name="Currency-- 33" xfId="10272" xr:uid="{A5BBB71E-79A4-4AA6-8147-3156A72CFA40}"/>
    <cellStyle name="Currency-- 34" xfId="10533" xr:uid="{D685C13F-01D3-4787-B07B-EDBB9E707FE2}"/>
    <cellStyle name="Currency-- 35" xfId="11355" xr:uid="{7345FC5F-5F83-4A4A-B272-47EBFC1F88A3}"/>
    <cellStyle name="Currency-- 36" xfId="11416" xr:uid="{A326C3EA-321A-4663-B7B6-19419D0F87AA}"/>
    <cellStyle name="Currency-- 37" xfId="11366" xr:uid="{ABD92406-2AC5-4B06-9D37-E5FC3486C16F}"/>
    <cellStyle name="Currency-- 38" xfId="11415" xr:uid="{2B771097-0D7F-46EC-A093-CF75426B1F4E}"/>
    <cellStyle name="Currency-- 39" xfId="11367" xr:uid="{3ABF93FD-BBD6-4349-BD0D-71F2A0C05DB2}"/>
    <cellStyle name="Currency 4" xfId="2039" xr:uid="{00000000-0005-0000-0000-00009A050000}"/>
    <cellStyle name="Currency-- 4" xfId="10470" xr:uid="{D7FDFABD-5159-430E-91D4-09DCDDF56F62}"/>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xfId="10189" xr:uid="{09E9BF6B-D7DB-466E-8991-5C4C94B065C3}"/>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xfId="10480" xr:uid="{D922B0EE-E84A-43A6-9821-1B7E2FDBC2FD}"/>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xfId="10194" xr:uid="{78F1D0AC-510D-4B33-B6BD-1AF994CB49A2}"/>
    <cellStyle name="Currency 7 2" xfId="2122" xr:uid="{00000000-0005-0000-0000-0000ED050000}"/>
    <cellStyle name="Currency 8" xfId="2123" xr:uid="{00000000-0005-0000-0000-0000EE050000}"/>
    <cellStyle name="Currency-- 8" xfId="10485" xr:uid="{634BE8EE-706E-4D55-9A48-8EF7CEF6787B}"/>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xfId="10202" xr:uid="{388FAF31-C49B-47DF-9778-267F25282A64}"/>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2 2" xfId="10200" xr:uid="{06ACC60E-6991-4F6D-A3FA-683A3B4D3BB4}"/>
    <cellStyle name="Data 2 3" xfId="10220" xr:uid="{22098014-1992-4AC3-A814-387FFB9D2778}"/>
    <cellStyle name="Data 2 4" xfId="10509" xr:uid="{0818BC12-BF6E-42DD-B8B2-78AE65E357A5}"/>
    <cellStyle name="Data 2 5" xfId="10517" xr:uid="{20DE904D-1A1F-400C-9A03-836E74254554}"/>
    <cellStyle name="Data 2 6" xfId="10244" xr:uid="{7702641F-9C83-4C92-BBAA-FB45A2B5F63E}"/>
    <cellStyle name="Data 2 7" xfId="10266" xr:uid="{70C22E20-28FC-4A2C-AEF0-8C6BBD3FDF72}"/>
    <cellStyle name="Data 3" xfId="2180" xr:uid="{00000000-0005-0000-0000-000026060000}"/>
    <cellStyle name="Data 4" xfId="10201" xr:uid="{27E9CBF0-F2BA-4CF2-AC9A-44F051C85B7E}"/>
    <cellStyle name="Data 5" xfId="10221" xr:uid="{326FA9F1-C052-45EE-9530-F9557DA64471}"/>
    <cellStyle name="Data 6" xfId="10510" xr:uid="{F91DF7A3-78D9-4404-B2C9-BA1F3130F27A}"/>
    <cellStyle name="Data 7" xfId="10518" xr:uid="{DEEB01A3-EDFF-4D05-9A83-1A0B167917B0}"/>
    <cellStyle name="Data 8" xfId="10245" xr:uid="{C5581671-836D-4506-9C36-98DFC6D74D4B}"/>
    <cellStyle name="Data 9" xfId="10267" xr:uid="{86B44B4D-A1BC-42CF-809F-D140BFF8DCB8}"/>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d-yyyy] 2 2" xfId="10768" xr:uid="{CEE58553-B7A9-4BF5-802E-7DA34F6E0F56}"/>
    <cellStyle name="Date [mm-d-yyyy] 2 3" xfId="10100" xr:uid="{11BB46D1-0CAA-4700-9D53-B2C44E1446D6}"/>
    <cellStyle name="Date [mm-d-yyyy] 2 4" xfId="10081" xr:uid="{B4D40481-4858-4C30-B758-6B60F6F72650}"/>
    <cellStyle name="Date [mm-d-yyyy] 2 5" xfId="10079" xr:uid="{46F107CA-450C-4D0C-9258-A5BB335DA9B4}"/>
    <cellStyle name="Date [mm-d-yyyy] 2 6" xfId="10102" xr:uid="{6D02DE1A-AB79-4333-89F5-EA9B9E5663EE}"/>
    <cellStyle name="Date [mm-d-yyyy] 2 7" xfId="10086" xr:uid="{C1D5196B-3C87-493B-8727-53DAD818B07C}"/>
    <cellStyle name="Date [mmm-yyyy]" xfId="2185" xr:uid="{00000000-0005-0000-0000-00002C060000}"/>
    <cellStyle name="Date [mmm-yyyy] 2" xfId="5697" xr:uid="{00000000-0005-0000-0000-00002D060000}"/>
    <cellStyle name="Date [mmm-yyyy] 2 2" xfId="10105" xr:uid="{C1362B89-E37F-44F5-B1E1-84155615BCB1}"/>
    <cellStyle name="Date [mmm-yyyy] 2 3" xfId="11394" xr:uid="{AF599998-AAD3-4C9F-A883-985DE66F0E6B}"/>
    <cellStyle name="Date [mmm-yyyy] 3" xfId="10484" xr:uid="{F769AEDB-2EFA-45B6-95B8-2BA65539EDBA}"/>
    <cellStyle name="Date [mmm-yyyy] 4" xfId="10500" xr:uid="{001A392A-560C-44BA-9860-5D164909CB54}"/>
    <cellStyle name="Date [mmm-yyyy] 5" xfId="10239" xr:uid="{27EFA560-84AF-47EF-9F1B-D673A00ECEA0}"/>
    <cellStyle name="Date [mmm-yyyy] 6" xfId="10521" xr:uid="{65D4A4E3-FD13-4866-BE67-3F818F3B2CAE}"/>
    <cellStyle name="Date [mmm-yyyy] 7" xfId="10251" xr:uid="{2C8F3FB1-AF9A-4A36-84F0-F1F650DF6C46}"/>
    <cellStyle name="Date [mmm-yyyy] 8" xfId="10526" xr:uid="{5374887E-6BA0-4DD7-AB7D-8BD7C42102CF}"/>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ntrée 10" xfId="10212" xr:uid="{151DAE4E-B3C5-4507-991E-59B3469A638C}"/>
    <cellStyle name="Entrée 11" xfId="10494" xr:uid="{2F3DCD50-2C57-44DA-A010-51A922359826}"/>
    <cellStyle name="Entrée 12" xfId="10224" xr:uid="{B0503E05-07CE-46A2-8A5C-1AF644AC0826}"/>
    <cellStyle name="Entrée 13" xfId="10231" xr:uid="{E2B83E64-7DF3-49F5-B13B-32B6D56F23EE}"/>
    <cellStyle name="Entrée 14" xfId="10505" xr:uid="{69B80B49-1430-4019-90D0-DF1228D4C9E4}"/>
    <cellStyle name="Entrée 15" xfId="10238" xr:uid="{C8962E96-ECE3-45BD-B571-686609132141}"/>
    <cellStyle name="Entrée 16" xfId="10243" xr:uid="{E07CA6D4-AD22-4E78-80E8-25C47F973A29}"/>
    <cellStyle name="Entrée 17" xfId="10513" xr:uid="{0E1E87D1-CB95-4BEF-842A-E7FFC05D8CB4}"/>
    <cellStyle name="Entrée 18" xfId="10254" xr:uid="{30E0E5F6-8196-4487-8820-A88DAD4BDDDA}"/>
    <cellStyle name="Entrée 19" xfId="10514" xr:uid="{98E429E6-3FD7-4654-8F58-2732AB204B99}"/>
    <cellStyle name="Entrée 2" xfId="10111" xr:uid="{5141409C-E388-414C-9B99-F0699F7302FF}"/>
    <cellStyle name="Entrée 20" xfId="10519" xr:uid="{46A379EE-5621-4F4D-A4B3-82A85966D095}"/>
    <cellStyle name="Entrée 21" xfId="10264" xr:uid="{AF04DE1D-2DA5-4C4F-B178-353218C1C7C7}"/>
    <cellStyle name="Entrée 22" xfId="10529" xr:uid="{BE383CC1-E97C-4155-B258-91A69021C084}"/>
    <cellStyle name="Entrée 23" xfId="10269" xr:uid="{15009576-016D-4AE3-9FB7-C31EAEA08B17}"/>
    <cellStyle name="Entrée 24" xfId="11363" xr:uid="{7CDF5E0B-F5FA-4E40-A1B3-08364C854D47}"/>
    <cellStyle name="Entrée 25" xfId="11414" xr:uid="{6873E87C-9D8D-4695-969B-D99DEA8D8F8E}"/>
    <cellStyle name="Entrée 26" xfId="11365" xr:uid="{80776274-3EE3-4AF8-A11C-BC2E62BBB296}"/>
    <cellStyle name="Entrée 3" xfId="10173" xr:uid="{9D860B9F-B7CC-4AC5-908A-749AEABB8883}"/>
    <cellStyle name="Entrée 4" xfId="10455" xr:uid="{4C5FB182-D7B3-41CA-933C-FC881D0EBB70}"/>
    <cellStyle name="Entrée 5" xfId="10180" xr:uid="{6B00655E-E8AC-4093-A9E5-FA09C689D45B}"/>
    <cellStyle name="Entrée 6" xfId="10190" xr:uid="{1B4361CF-7FE7-498E-BE9A-AF8779429152}"/>
    <cellStyle name="Entrée 7" xfId="10468" xr:uid="{EE1592A2-8C8E-4075-A164-4438D2354A07}"/>
    <cellStyle name="Entrée 8" xfId="10472" xr:uid="{96C1BE06-76E2-4629-AD59-A0E99EFA277E}"/>
    <cellStyle name="Entrée 9" xfId="10481" xr:uid="{61F7469F-7113-4211-B7F6-94B5D8D1882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act 2 2" xfId="11395" xr:uid="{31B5A1EA-147C-42C5-8DAB-44D4A0698BE0}"/>
    <cellStyle name="fact 3" xfId="10187" xr:uid="{CB8C413F-5344-43B2-8D23-5B20472D0A5C}"/>
    <cellStyle name="fact 4" xfId="10256" xr:uid="{BB906585-B660-4A5B-93D5-A98EC29D718A}"/>
    <cellStyle name="FieldName" xfId="2221" xr:uid="{00000000-0005-0000-0000-000053060000}"/>
    <cellStyle name="FieldName 10" xfId="10474" xr:uid="{9C8CCDD6-1F79-4A3C-8F7B-AA3201129A35}"/>
    <cellStyle name="FieldName 11" xfId="10478" xr:uid="{6C77C3BB-A5A9-43F7-9343-173C98DE37E8}"/>
    <cellStyle name="FieldName 12" xfId="10211" xr:uid="{617F7510-430F-477B-8735-93CDE848810B}"/>
    <cellStyle name="FieldName 13" xfId="10489" xr:uid="{EBCF2947-BBC4-4227-8718-DFB88286B94B}"/>
    <cellStyle name="FieldName 14" xfId="10218" xr:uid="{CF793DB0-5641-469D-A02E-BE78FC2B4321}"/>
    <cellStyle name="FieldName 15" xfId="10228" xr:uid="{D9FEDD7E-FDA8-43C6-ACB4-A768687E35BC}"/>
    <cellStyle name="FieldName 16" xfId="10502" xr:uid="{B008F0C5-F3E5-4BEB-80D0-C3DCC73C239F}"/>
    <cellStyle name="FieldName 17" xfId="10237" xr:uid="{90B10FBB-C349-476E-8808-3DE5E9D4162C}"/>
    <cellStyle name="FieldName 18" xfId="10240" xr:uid="{3E58D6F6-ACD4-44CD-8534-70831450386F}"/>
    <cellStyle name="FieldName 19" xfId="10253" xr:uid="{8F23F070-50A3-43A4-A014-2DC6144846FB}"/>
    <cellStyle name="FieldName 2" xfId="10112" xr:uid="{3C6A4248-11DC-4345-85C6-FD09A3E54870}"/>
    <cellStyle name="FieldName 20" xfId="10512" xr:uid="{B82745B1-90CD-4132-8B81-40F5B7E1A8B6}"/>
    <cellStyle name="FieldName 21" xfId="10262" xr:uid="{C3A3F1F6-4C5B-479E-B775-01307690CA04}"/>
    <cellStyle name="FieldName 22" xfId="10524" xr:uid="{FBF6C422-D433-442C-83FF-357C78F0DF72}"/>
    <cellStyle name="FieldName 23" xfId="10265" xr:uid="{970FAE0D-780C-4373-A042-696683E20DF4}"/>
    <cellStyle name="FieldName 24" xfId="10531" xr:uid="{F14293C3-F98B-41CB-AC3D-384B53A6EA55}"/>
    <cellStyle name="FieldName 25" xfId="11413" xr:uid="{D3D31BDD-A404-45B8-8F2F-E644F88A3F44}"/>
    <cellStyle name="FieldName 26" xfId="11364" xr:uid="{02817AEC-790A-43DC-90DD-F924EAEA1A15}"/>
    <cellStyle name="FieldName 3" xfId="10171" xr:uid="{8ABA22A8-89DC-4595-B0D9-CA152B83EDF7}"/>
    <cellStyle name="FieldName 4" xfId="10452" xr:uid="{F0255B6D-B04E-4CD0-A8B7-81E3FE9C0D52}"/>
    <cellStyle name="FieldName 5" xfId="10177" xr:uid="{F31D587E-EF2F-4632-A9C4-F87E59F51DB1}"/>
    <cellStyle name="FieldName 6" xfId="10186" xr:uid="{2C418E47-C7F7-4DCC-A766-EEC2A77CA0BA}"/>
    <cellStyle name="FieldName 7" xfId="10459" xr:uid="{28FEA715-3096-410F-8C76-B0C024B2A519}"/>
    <cellStyle name="FieldName 8" xfId="10466" xr:uid="{3C3DAB50-3429-4E34-AA6C-FA0F952E28D2}"/>
    <cellStyle name="FieldName 9" xfId="10196" xr:uid="{FBC0BE24-A0F5-491F-9D0D-34CCBD9EE45A}"/>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no 10" xfId="10467" xr:uid="{787B24BA-915C-48FC-9F90-BC3E61CA4560}"/>
    <cellStyle name="hard no 11" xfId="10206" xr:uid="{31D39B6B-6146-4617-BA78-1A2E400B7576}"/>
    <cellStyle name="hard no 12" xfId="10483" xr:uid="{67817D47-9E47-484C-B43C-5ED7742B417D}"/>
    <cellStyle name="hard no 13" xfId="10214" xr:uid="{FCD1D799-526C-4269-A018-0F8A12B0D017}"/>
    <cellStyle name="hard no 14" xfId="10225" xr:uid="{46260A1E-8483-4511-B14B-95A24F4CAE9F}"/>
    <cellStyle name="hard no 15" xfId="10496" xr:uid="{11809840-BAC9-4D9D-9DC4-6F443EA3E383}"/>
    <cellStyle name="hard no 16" xfId="10236" xr:uid="{BF666116-58FC-44D9-8D72-DE6C91EA8303}"/>
    <cellStyle name="hard no 17" xfId="10249" xr:uid="{88E40105-5749-4854-8FD9-6499A67D5A1A}"/>
    <cellStyle name="hard no 18" xfId="10507" xr:uid="{77EB26A1-CC63-4324-84DD-A94A29D91E61}"/>
    <cellStyle name="hard no 19" xfId="10516" xr:uid="{7ACDB1D7-CA7E-4834-8752-8991D1EE5264}"/>
    <cellStyle name="hard no 2" xfId="10113" xr:uid="{2848B236-7131-49FB-9100-D73255D697CC}"/>
    <cellStyle name="hard no 20" xfId="10259" xr:uid="{FEB25E9A-C2C2-4D06-B7F6-2FA3BA3B0922}"/>
    <cellStyle name="hard no 21" xfId="10527" xr:uid="{6B68D134-775B-4F9D-BD47-F40CC9C917DF}"/>
    <cellStyle name="hard no 22" xfId="11412" xr:uid="{3A0CC2D2-7529-41C6-9D15-B009ECB3EFEB}"/>
    <cellStyle name="hard no 23" xfId="11362" xr:uid="{EEEC99E2-48CB-43E2-B893-972AD7FA5837}"/>
    <cellStyle name="hard no 3" xfId="10169" xr:uid="{711F2EF6-1696-42F2-92E3-EA12405D18A4}"/>
    <cellStyle name="hard no 4" xfId="10449" xr:uid="{1C0F65A2-DB37-49CF-AB8C-4FCA43751B0A}"/>
    <cellStyle name="hard no 5" xfId="10175" xr:uid="{BDC2C546-CD6E-4C69-BEFF-05DD4159358F}"/>
    <cellStyle name="hard no 6" xfId="10183" xr:uid="{1F274A3F-DEE6-4724-BFC6-C98EF35D8125}"/>
    <cellStyle name="hard no 7" xfId="10454" xr:uid="{DA8C8C67-D57A-41AD-8834-B74FF0B4E817}"/>
    <cellStyle name="hard no 8" xfId="10193" xr:uid="{9E26A5C7-EE03-4F59-AB06-DA5177EB04CD}"/>
    <cellStyle name="hard no 9" xfId="10461" xr:uid="{D4651DE8-716A-44EC-B9EA-9FDC705DBA96}"/>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er2 10" xfId="10458" xr:uid="{BF2FCBAE-6A66-4A15-9ED1-94FC5016788A}"/>
    <cellStyle name="Header2 11" xfId="10464" xr:uid="{804354F7-B827-4127-B64B-2E194A05554F}"/>
    <cellStyle name="Header2 12" xfId="10204" xr:uid="{4AF0A408-48A2-4D53-BFDE-538369EF3980}"/>
    <cellStyle name="Header2 13" xfId="10479" xr:uid="{06675D1D-FF1F-46E8-A759-61548ADC0140}"/>
    <cellStyle name="Header2 14" xfId="10213" xr:uid="{BFC758CF-087F-4F63-8C26-52DB6B550A83}"/>
    <cellStyle name="Header2 15" xfId="10223" xr:uid="{FFDC3A3E-AB24-4277-A810-4AB1CA4FE001}"/>
    <cellStyle name="Header2 16" xfId="10495" xr:uid="{3366C522-A358-4F2E-9369-AAC90D2C654B}"/>
    <cellStyle name="Header2 17" xfId="10235" xr:uid="{AC7B977E-EE7F-489B-9F7A-3ED3BD175658}"/>
    <cellStyle name="Header2 18" xfId="10246" xr:uid="{1B6BC0DA-EBF7-4CFD-89DE-4E20D364570B}"/>
    <cellStyle name="Header2 19" xfId="10506" xr:uid="{AC7DE469-D864-452C-A5EF-ABDA3C038B19}"/>
    <cellStyle name="Header2 2" xfId="10114" xr:uid="{9D7863AC-0FFE-4ED0-92C3-A77DE62A7162}"/>
    <cellStyle name="Header2 20" xfId="10255" xr:uid="{48ED4482-4E76-46AA-8444-98D62E32FB1B}"/>
    <cellStyle name="Header2 21" xfId="10515" xr:uid="{97834A2C-4044-4981-B739-1E2351353766}"/>
    <cellStyle name="Header2 22" xfId="10257" xr:uid="{76AD2E7E-708E-4A06-A5DB-E0C820CD61BD}"/>
    <cellStyle name="Header2 23" xfId="10523" xr:uid="{7FFF6898-EDD0-4BE4-8218-F85A8B29225B}"/>
    <cellStyle name="Header2 24" xfId="11411" xr:uid="{1BB3C56A-4FD9-44D9-9620-4B835782A018}"/>
    <cellStyle name="Header2 25" xfId="11361" xr:uid="{B1261475-CA16-412B-9705-D2B791D5A545}"/>
    <cellStyle name="Header2 3" xfId="10167" xr:uid="{28B4132F-4CE8-4E6E-8B1E-4E74B76654FA}"/>
    <cellStyle name="Header2 4" xfId="10447" xr:uid="{98FA61EA-674F-4422-A01F-78C6DBC65E24}"/>
    <cellStyle name="Header2 5" xfId="10172" xr:uid="{08EEF7B7-8860-4293-A430-E93008F5B745}"/>
    <cellStyle name="Header2 6" xfId="10181" xr:uid="{6C7C8995-AC45-4ABB-B82F-26264E83CD50}"/>
    <cellStyle name="Header2 7" xfId="10453" xr:uid="{5F7D8200-7ADF-4628-A536-BEDE3FAB7A1E}"/>
    <cellStyle name="Header2 8" xfId="10456" xr:uid="{17D601F9-805C-4E39-AF4F-76C362BCAD91}"/>
    <cellStyle name="Header2 9" xfId="10192" xr:uid="{D6654F3F-D40B-4A9A-9670-7D1476908D93}"/>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ingYear 2" xfId="10184" xr:uid="{BD91D385-1259-4C51-9A56-502015898119}"/>
    <cellStyle name="HeadingYear 3" xfId="10198" xr:uid="{B2457062-0D73-4225-855F-6790CDC3438A}"/>
    <cellStyle name="HeadingYear 4" xfId="10486" xr:uid="{BCA3FE3B-F298-4FF6-962C-B39EB8B7B693}"/>
    <cellStyle name="HeadingYear 5" xfId="10490" xr:uid="{C42D1846-4132-47D0-9B96-B942A99552BD}"/>
    <cellStyle name="HeadingYear 6" xfId="10229" xr:uid="{B7C24FE3-2A21-402F-A3D5-A4A4360DB31F}"/>
    <cellStyle name="HeadingYear 7" xfId="10250" xr:uid="{571AA602-270A-40A4-8D7B-2C8AAED80ED5}"/>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yellow] 10" xfId="10444" xr:uid="{46BDC299-E2B7-48A4-AAB0-487C6CABCFFE}"/>
    <cellStyle name="Input [yellow] 11" xfId="10191" xr:uid="{D3339B6B-BED9-400C-9E91-0B8F7789BE6E}"/>
    <cellStyle name="Input [yellow] 12" xfId="10450" xr:uid="{53A05D73-6A31-4636-B8FE-33DC60298D99}"/>
    <cellStyle name="Input [yellow] 13" xfId="10197" xr:uid="{D253D2BD-80A5-46F6-94BF-D891E7E4AD17}"/>
    <cellStyle name="Input [yellow] 14" xfId="10207" xr:uid="{C1F61A88-985A-48E0-B812-A7C381A9A02E}"/>
    <cellStyle name="Input [yellow] 15" xfId="10460" xr:uid="{A8326E95-D985-4D23-AF8F-5E51194583BE}"/>
    <cellStyle name="Input [yellow] 16" xfId="10226" xr:uid="{10DB4AB7-0186-47C4-BB0A-E268BDD68C1C}"/>
    <cellStyle name="Input [yellow] 17" xfId="10233" xr:uid="{4E6F5E17-BBE8-4947-9CAC-1A74F145FDFF}"/>
    <cellStyle name="Input [yellow] 18" xfId="10488" xr:uid="{DE6AF067-B98B-438C-A65F-23F21ED3303E}"/>
    <cellStyle name="Input [yellow] 19" xfId="10498" xr:uid="{CFEF4E66-BC6F-4D93-BDAD-A5A450F2315A}"/>
    <cellStyle name="Input [yellow] 2" xfId="10121" xr:uid="{EBD9C8EE-ECDC-4810-B082-AA082C2DCC29}"/>
    <cellStyle name="Input [yellow] 20" xfId="10248" xr:uid="{65601FAC-F957-479D-8375-0FBC852C6C44}"/>
    <cellStyle name="Input [yellow] 21" xfId="10504" xr:uid="{D6E878F9-8C27-4F92-BA4E-8068BD2398BD}"/>
    <cellStyle name="Input [yellow] 22" xfId="11410" xr:uid="{C3DE3AA4-CD0B-4766-965E-EC7AE81757B7}"/>
    <cellStyle name="Input [yellow] 23" xfId="11360" xr:uid="{D205A628-1C58-406C-A717-29AC09530786}"/>
    <cellStyle name="Input [yellow] 3" xfId="10163" xr:uid="{180D8F58-50B1-4A33-A9E1-6F4D10FA8563}"/>
    <cellStyle name="Input [yellow] 4" xfId="10436" xr:uid="{71482918-83CE-45BE-9508-FD08B98F8407}"/>
    <cellStyle name="Input [yellow] 5" xfId="10165" xr:uid="{511B20DC-041E-4EF4-93F4-266F51BF8516}"/>
    <cellStyle name="Input [yellow] 6" xfId="10170" xr:uid="{33C5B719-5DBD-4682-8178-DB5B2407514D}"/>
    <cellStyle name="Input [yellow] 7" xfId="10439" xr:uid="{DBEF1E3D-1D43-4158-B777-38E66D631BFD}"/>
    <cellStyle name="Input [yellow] 8" xfId="10178" xr:uid="{9418B566-E513-4FC3-BF48-765F07B04920}"/>
    <cellStyle name="Input [yellow] 9" xfId="10443" xr:uid="{2E37D575-01DD-4AD7-9A57-5A35DC8C1689}"/>
    <cellStyle name="Input 2" xfId="47" xr:uid="{00000000-0005-0000-0000-0000EB1A0000}"/>
    <cellStyle name="Input 2 10" xfId="9747" xr:uid="{00000000-0005-0000-0000-0000EC1A0000}"/>
    <cellStyle name="Input 2 10 10" xfId="11018" xr:uid="{A86BB01E-B0FE-4583-94AA-0C81798BC207}"/>
    <cellStyle name="Input 2 10 11" xfId="10701" xr:uid="{7564FF49-61DD-41DF-87D1-2C023CB8E096}"/>
    <cellStyle name="Input 2 10 12" xfId="11089" xr:uid="{4439A8DD-B169-481C-A1C1-82A3E5B69EE5}"/>
    <cellStyle name="Input 2 10 13" xfId="10710" xr:uid="{A397A8B1-2DC9-4F1D-A409-1BE78586A370}"/>
    <cellStyle name="Input 2 10 14" xfId="11140" xr:uid="{AC5DDA4A-4A0A-443D-B5C1-292427000B6B}"/>
    <cellStyle name="Input 2 10 15" xfId="11188" xr:uid="{EEFA4432-DDB0-47D2-9B09-91CB3F667812}"/>
    <cellStyle name="Input 2 10 16" xfId="11218" xr:uid="{94FF8A74-6DEF-414A-955E-ECDE49597692}"/>
    <cellStyle name="Input 2 10 17" xfId="10751" xr:uid="{C3F7E69D-5436-4819-9BA4-117610EDAA6C}"/>
    <cellStyle name="Input 2 10 18" xfId="11270" xr:uid="{CBA986B0-A699-432B-B23B-872725AD82BB}"/>
    <cellStyle name="Input 2 10 19" xfId="11296" xr:uid="{4E14B73B-3958-4896-980F-E83E61292537}"/>
    <cellStyle name="Input 2 10 2" xfId="10632" xr:uid="{847FB102-ED61-4006-A354-76973B8EF572}"/>
    <cellStyle name="Input 2 10 20" xfId="11342" xr:uid="{8A80E6C4-D89D-40A2-8289-8BEA07D6D76C}"/>
    <cellStyle name="Input 2 10 21" xfId="11449" xr:uid="{5F41E3C9-B36D-4B7A-9FEF-D0517EC7CCF9}"/>
    <cellStyle name="Input 2 10 22" xfId="11467" xr:uid="{C5BE6A15-2454-4851-9488-484CAA9E047A}"/>
    <cellStyle name="Input 2 10 3" xfId="10792" xr:uid="{933A782B-F0F6-4063-8346-19BEBE3F3929}"/>
    <cellStyle name="Input 2 10 4" xfId="10834" xr:uid="{714B225F-83B1-4DAB-8B8C-925843838F5D}"/>
    <cellStyle name="Input 2 10 5" xfId="10862" xr:uid="{594C15FF-1283-4F62-AF54-E0BB9EEF33E7}"/>
    <cellStyle name="Input 2 10 6" xfId="10663" xr:uid="{2CC1AEF0-BE01-4762-ABA4-65361CE833F0}"/>
    <cellStyle name="Input 2 10 7" xfId="10925" xr:uid="{E9CB430F-34B2-4446-8B3E-9099E5D7C338}"/>
    <cellStyle name="Input 2 10 8" xfId="10681" xr:uid="{A72A619F-FC17-47FA-A233-ECA73BEB8711}"/>
    <cellStyle name="Input 2 10 9" xfId="10981" xr:uid="{FC826D59-5DBC-4A62-8684-9DE8F8E0FAE4}"/>
    <cellStyle name="Input 2 11" xfId="10748" xr:uid="{B360D2CA-4202-458C-AB53-1D9434AC0DD1}"/>
    <cellStyle name="Input 2 12" xfId="10831" xr:uid="{833C8C67-7BE2-42D0-A168-C775C2D0D688}"/>
    <cellStyle name="Input 2 13" xfId="10952" xr:uid="{D8032548-CAE6-4C9A-B1A2-0F4AF6F45734}"/>
    <cellStyle name="Input 2 14" xfId="11015" xr:uid="{2F143287-8953-43AA-819E-73BFE9B6FB52}"/>
    <cellStyle name="Input 2 15" xfId="11065" xr:uid="{7DD44220-F931-4780-9C2B-E28F06D1D34C}"/>
    <cellStyle name="Input 2 16" xfId="11112" xr:uid="{33DFCFA1-9502-4110-9AB3-9A9175638946}"/>
    <cellStyle name="Input 2 17" xfId="11241" xr:uid="{2A7398CE-4167-4547-8446-38B9548BF5B8}"/>
    <cellStyle name="Input 2 18" xfId="11255" xr:uid="{F74F0FD2-F4FA-4519-89F0-FF7DCB782630}"/>
    <cellStyle name="Input 2 2" xfId="65" xr:uid="{00000000-0005-0000-0000-0000ED1A0000}"/>
    <cellStyle name="Input 2 2 10" xfId="11181" xr:uid="{D9D4CAE2-2334-48A2-AC31-B986FD156C44}"/>
    <cellStyle name="Input 2 2 11" xfId="11248" xr:uid="{4861586C-AB5A-4BD3-B82B-5D4249BD4176}"/>
    <cellStyle name="Input 2 2 2" xfId="85" xr:uid="{00000000-0005-0000-0000-0000EE1A0000}"/>
    <cellStyle name="Input 2 2 2 10" xfId="11203" xr:uid="{B66DBFAB-9078-4D6C-A805-0CAE74590A36}"/>
    <cellStyle name="Input 2 2 2 2" xfId="9767" xr:uid="{00000000-0005-0000-0000-0000EF1A0000}"/>
    <cellStyle name="Input 2 2 2 2 10" xfId="11038" xr:uid="{9A446ED4-0184-4597-998A-C448FACEF922}"/>
    <cellStyle name="Input 2 2 2 2 11" xfId="11075" xr:uid="{79584EF2-7DD9-49DA-B6E6-34647F3B5CEB}"/>
    <cellStyle name="Input 2 2 2 2 12" xfId="11107" xr:uid="{1C6E335C-CB7B-4EC8-B3E8-649A49478D21}"/>
    <cellStyle name="Input 2 2 2 2 13" xfId="11132" xr:uid="{DD1436F7-704B-4A01-984D-4AE2F2A75867}"/>
    <cellStyle name="Input 2 2 2 2 14" xfId="11158" xr:uid="{A1855D08-3A34-4132-895A-65B60DBF880A}"/>
    <cellStyle name="Input 2 2 2 2 15" xfId="11208" xr:uid="{7C05A7AF-DF39-4D46-B856-FB4612DF2176}"/>
    <cellStyle name="Input 2 2 2 2 16" xfId="11236" xr:uid="{A37A286B-FF7E-436C-9080-C9073EE17EAE}"/>
    <cellStyle name="Input 2 2 2 2 17" xfId="11265" xr:uid="{0429029F-EB9A-4679-9059-FF3E193D7C98}"/>
    <cellStyle name="Input 2 2 2 2 18" xfId="11290" xr:uid="{E9756F80-4036-4515-9B35-AF86E46733D6}"/>
    <cellStyle name="Input 2 2 2 2 19" xfId="11316" xr:uid="{FEFB072A-33B4-4195-9D8B-FFA677DC9FF9}"/>
    <cellStyle name="Input 2 2 2 2 2" xfId="10648" xr:uid="{52ABC98E-857E-4A56-AC7A-5C273A410E06}"/>
    <cellStyle name="Input 2 2 2 2 20" xfId="11443" xr:uid="{BC15A769-18A9-40AA-8F23-AFC04C7A7DC9}"/>
    <cellStyle name="Input 2 2 2 2 21" xfId="11463" xr:uid="{5AD00728-0389-420A-A7E2-7435F2B9F847}"/>
    <cellStyle name="Input 2 2 2 2 22" xfId="11487" xr:uid="{2445BB2F-0724-40DF-8809-0C19AC22BD56}"/>
    <cellStyle name="Input 2 2 2 2 3" xfId="10812" xr:uid="{533AF318-188E-4C00-A000-6D4938D83D30}"/>
    <cellStyle name="Input 2 2 2 2 4" xfId="10854" xr:uid="{580231FE-EE64-4E67-A778-0EF8FA9298CE}"/>
    <cellStyle name="Input 2 2 2 2 5" xfId="10882" xr:uid="{8B33852B-A7DE-4FCD-BAB8-3043C2FD14C3}"/>
    <cellStyle name="Input 2 2 2 2 6" xfId="10897" xr:uid="{663522A3-87E2-4241-86EC-1BB6721FD047}"/>
    <cellStyle name="Input 2 2 2 2 7" xfId="10945" xr:uid="{D2DDB522-7CEF-49F6-8505-A324DC9DE7DD}"/>
    <cellStyle name="Input 2 2 2 2 8" xfId="10976" xr:uid="{1B73E6EA-3450-46F0-B774-B261EE06045A}"/>
    <cellStyle name="Input 2 2 2 2 9" xfId="11001" xr:uid="{E8CE66F2-2300-456A-AAED-7C711A6CFD37}"/>
    <cellStyle name="Input 2 2 2 3" xfId="10726" xr:uid="{E0748FC4-DD87-444A-BAB5-2712DAD09A37}"/>
    <cellStyle name="Input 2 2 2 4" xfId="10782" xr:uid="{1B7EDE7A-60EA-40FD-9B3B-B98CF41D4CBD}"/>
    <cellStyle name="Input 2 2 2 5" xfId="10906" xr:uid="{DE4D98C9-ECF4-477E-B21F-16CBCC96DE86}"/>
    <cellStyle name="Input 2 2 2 6" xfId="10962" xr:uid="{FB409DC4-BD46-4CEC-BD69-3A345A55B00D}"/>
    <cellStyle name="Input 2 2 2 7" xfId="11047" xr:uid="{5286FFBB-E2A9-47A0-A5AE-C2C6E556DAA8}"/>
    <cellStyle name="Input 2 2 2 8" xfId="11080" xr:uid="{84F89E00-D12D-4A9B-BDC0-29E13A0F5E76}"/>
    <cellStyle name="Input 2 2 2 9" xfId="11169" xr:uid="{4A27594F-F902-4C9F-8CEA-34C3C2E2720C}"/>
    <cellStyle name="Input 2 2 3" xfId="9753" xr:uid="{00000000-0005-0000-0000-0000F01A0000}"/>
    <cellStyle name="Input 2 2 3 10" xfId="11024" xr:uid="{C7F8BA54-24FE-49C4-8877-CD14EF315249}"/>
    <cellStyle name="Input 2 2 3 11" xfId="10707" xr:uid="{F0E5BAE7-FFA1-4D32-A0B7-35590A04D62E}"/>
    <cellStyle name="Input 2 2 3 12" xfId="11095" xr:uid="{E0DC873E-1410-49EF-870C-F6AF3B1C3E59}"/>
    <cellStyle name="Input 2 2 3 13" xfId="11118" xr:uid="{C2E2F667-DAFB-45EC-B59D-225799522199}"/>
    <cellStyle name="Input 2 2 3 14" xfId="11146" xr:uid="{E560D907-329C-481E-9D97-56F6D0F1418C}"/>
    <cellStyle name="Input 2 2 3 15" xfId="11194" xr:uid="{96C11F5D-88D1-4D28-86DE-2E1DDFF46CD8}"/>
    <cellStyle name="Input 2 2 3 16" xfId="11224" xr:uid="{B672E570-3867-4B47-8355-8ED4551025BF}"/>
    <cellStyle name="Input 2 2 3 17" xfId="10766" xr:uid="{4D55DF21-97B2-4E49-AF3A-632B99374951}"/>
    <cellStyle name="Input 2 2 3 18" xfId="11276" xr:uid="{A123A9F1-99FD-436D-834C-264C26474BE3}"/>
    <cellStyle name="Input 2 2 3 19" xfId="11302" xr:uid="{F16AC101-7122-4DE3-B5AB-5BB32818FB8E}"/>
    <cellStyle name="Input 2 2 3 2" xfId="10642" xr:uid="{F674FF5F-DC2D-4220-ACC4-086DFF11E573}"/>
    <cellStyle name="Input 2 2 3 20" xfId="11431" xr:uid="{EA99FA49-07A7-4811-A8CC-869F8AA8F06F}"/>
    <cellStyle name="Input 2 2 3 21" xfId="11453" xr:uid="{B3F98059-FDD2-430E-A659-2161D2BE11A3}"/>
    <cellStyle name="Input 2 2 3 22" xfId="11473" xr:uid="{8BEFB5CA-AA71-4E20-913B-3AAC4F9F77A8}"/>
    <cellStyle name="Input 2 2 3 3" xfId="10798" xr:uid="{DA224815-2E75-4C86-8766-49A9E09CD3E8}"/>
    <cellStyle name="Input 2 2 3 4" xfId="10840" xr:uid="{15364FA4-D35E-427C-AAD1-8935CF25839A}"/>
    <cellStyle name="Input 2 2 3 5" xfId="10868" xr:uid="{3B4A41A6-867E-40A4-BBD7-1BA9691EF9BB}"/>
    <cellStyle name="Input 2 2 3 6" xfId="10657" xr:uid="{DD111769-AE96-4D4B-B4C3-F7681C04FA85}"/>
    <cellStyle name="Input 2 2 3 7" xfId="10931" xr:uid="{B2A2B8AC-4445-416D-B80E-DC3B06FD798A}"/>
    <cellStyle name="Input 2 2 3 8" xfId="10673" xr:uid="{5EDF1B07-A320-4C0E-9AD1-2AE4E47EF88B}"/>
    <cellStyle name="Input 2 2 3 9" xfId="10987" xr:uid="{725E5487-7403-4B0B-BCF8-7671A4927A53}"/>
    <cellStyle name="Input 2 2 4" xfId="10738" xr:uid="{65863CB5-1AD8-446B-9490-EA61207CEE0A}"/>
    <cellStyle name="Input 2 2 5" xfId="10822" xr:uid="{6C98E379-CA23-4A2A-95F8-5E5BBB495F4D}"/>
    <cellStyle name="Input 2 2 6" xfId="10918" xr:uid="{539EA0E6-5757-47E3-9BB8-B389EB263D02}"/>
    <cellStyle name="Input 2 2 7" xfId="11009" xr:uid="{811DC571-D456-4D55-9C0F-481FA8F16803}"/>
    <cellStyle name="Input 2 2 8" xfId="11059" xr:uid="{835B769E-AD9D-4BEF-9EB5-2F91996A13A1}"/>
    <cellStyle name="Input 2 2 9" xfId="11084" xr:uid="{5022EDE3-FDA7-4A67-868E-9BD8EEE1C8FC}"/>
    <cellStyle name="Input 2 3" xfId="79" xr:uid="{00000000-0005-0000-0000-0000F11A0000}"/>
    <cellStyle name="Input 2 3 10" xfId="11215" xr:uid="{AFED2F5E-91D2-40F9-97EE-37C0C382A495}"/>
    <cellStyle name="Input 2 3 2" xfId="9761" xr:uid="{00000000-0005-0000-0000-0000F21A0000}"/>
    <cellStyle name="Input 2 3 2 10" xfId="11032" xr:uid="{0AA788FA-A03E-4B05-BA1F-7DAB185EABE7}"/>
    <cellStyle name="Input 2 3 2 11" xfId="10685" xr:uid="{8EAA8EC2-24D5-499C-AD83-0B3C6B55488B}"/>
    <cellStyle name="Input 2 3 2 12" xfId="11101" xr:uid="{F3B612C0-C022-48A6-BC0B-5E4D0656F790}"/>
    <cellStyle name="Input 2 3 2 13" xfId="11126" xr:uid="{FE9C951D-BDFA-4F8A-90E1-93DADA36241C}"/>
    <cellStyle name="Input 2 3 2 14" xfId="11152" xr:uid="{CFA214F4-B8D9-4421-83F8-D46DBBA4BE55}"/>
    <cellStyle name="Input 2 3 2 15" xfId="11202" xr:uid="{D1B413E3-1D2A-4550-9E0B-25856A10540B}"/>
    <cellStyle name="Input 2 3 2 16" xfId="11230" xr:uid="{07014DA2-CF5A-40E3-8173-E477A37900FD}"/>
    <cellStyle name="Input 2 3 2 17" xfId="11261" xr:uid="{EB0F10B8-4C7B-4F88-87BD-C01F6F914E02}"/>
    <cellStyle name="Input 2 3 2 18" xfId="11284" xr:uid="{A8749944-6C60-4FF8-BE43-B0AFAA120824}"/>
    <cellStyle name="Input 2 3 2 19" xfId="11310" xr:uid="{2C00558B-A710-4D2F-9AD5-3D6FB7B29B9C}"/>
    <cellStyle name="Input 2 3 2 2" xfId="10630" xr:uid="{37E4C1F6-B4F5-4C55-B844-BEDAD928B90B}"/>
    <cellStyle name="Input 2 3 2 20" xfId="11437" xr:uid="{CCE386F7-9D37-4CF9-B73F-F0F8BA751411}"/>
    <cellStyle name="Input 2 3 2 21" xfId="11459" xr:uid="{528CF700-BB11-4883-B59E-69B90C8737A3}"/>
    <cellStyle name="Input 2 3 2 22" xfId="11481" xr:uid="{5A8E1407-28A2-40AA-8657-4A087FAF61BA}"/>
    <cellStyle name="Input 2 3 2 3" xfId="10806" xr:uid="{BCD6C7F1-BB80-4B70-88C0-1290C46573B8}"/>
    <cellStyle name="Input 2 3 2 4" xfId="10848" xr:uid="{B1BD2AEE-1D96-40E8-BD8E-291E49300140}"/>
    <cellStyle name="Input 2 3 2 5" xfId="10876" xr:uid="{09CC9E07-3920-4667-8517-444DC5A9A219}"/>
    <cellStyle name="Input 2 3 2 6" xfId="10669" xr:uid="{5A6717AE-94B9-452C-9BCE-0BD84CC61C5A}"/>
    <cellStyle name="Input 2 3 2 7" xfId="10939" xr:uid="{C12FF36A-75CA-4963-A2EA-8D3163755951}"/>
    <cellStyle name="Input 2 3 2 8" xfId="10972" xr:uid="{8F1D9C13-D57B-47EF-AC3E-70482A7BD9CC}"/>
    <cellStyle name="Input 2 3 2 9" xfId="10995" xr:uid="{C74A67E1-C9E4-4A0A-B759-B2708B6DC359}"/>
    <cellStyle name="Input 2 3 3" xfId="10732" xr:uid="{AF239586-E548-48DB-BC04-61B14C099FFB}"/>
    <cellStyle name="Input 2 3 4" xfId="10788" xr:uid="{DB7971E2-302B-4474-BC1F-614C3FE11726}"/>
    <cellStyle name="Input 2 3 5" xfId="10912" xr:uid="{D2E59C40-72DD-431F-BD1E-9E7536048863}"/>
    <cellStyle name="Input 2 3 6" xfId="10968" xr:uid="{2C2C67DF-BCF4-47B1-8FCC-CA2A89C6F4E8}"/>
    <cellStyle name="Input 2 3 7" xfId="11053" xr:uid="{CCF98317-60D8-4A1E-ADA5-899E0AD620C9}"/>
    <cellStyle name="Input 2 3 8" xfId="11082" xr:uid="{1C3F202E-3AF2-49CD-9FEF-52916179DDCF}"/>
    <cellStyle name="Input 2 3 9" xfId="11175" xr:uid="{3F96E01B-7D90-432B-9A91-541C42D2DF96}"/>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KeepPale 2" xfId="10162" xr:uid="{C3982327-1D73-4FF7-A8BE-8C60D22ABE88}"/>
    <cellStyle name="InputKeepPale 3" xfId="10203" xr:uid="{88764C69-B175-4D65-8F22-83B769E99C5E}"/>
    <cellStyle name="InputKeepPale 4" xfId="10469" xr:uid="{8694A3E0-D9AC-4C32-A6DD-4C0362BD5BEE}"/>
    <cellStyle name="InputKeepPale 5" xfId="10477" xr:uid="{164CC62B-B736-4018-BF80-06E65A5697C1}"/>
    <cellStyle name="InputKeepPale 6" xfId="10501" xr:uid="{53B84390-CD06-43CB-80BF-803BF353C94D}"/>
    <cellStyle name="InputKeepPale 7" xfId="11359" xr:uid="{4B854367-2D6E-4893-A07F-31AB5F3AACD3}"/>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10" xfId="10441" xr:uid="{23B66AB0-4657-4545-A610-67036FD632C7}"/>
    <cellStyle name="ItemTypeClass 11" xfId="10188" xr:uid="{B375C76A-EABF-4DD4-AA4B-3E166714ED94}"/>
    <cellStyle name="ItemTypeClass 12" xfId="10446" xr:uid="{15855E18-9D45-41BE-B16E-7BFD9F32B750}"/>
    <cellStyle name="ItemTypeClass 13" xfId="10199" xr:uid="{2DB258ED-1837-445B-9660-2E943D823669}"/>
    <cellStyle name="ItemTypeClass 14" xfId="10462" xr:uid="{8802D853-F0A2-4F16-8D3A-24CA9AD987E1}"/>
    <cellStyle name="ItemTypeClass 15" xfId="10471" xr:uid="{442016F5-FD62-4F8B-9967-5226ED8BCA1F}"/>
    <cellStyle name="ItemTypeClass 16" xfId="10219" xr:uid="{E0831216-B54E-4DF8-A6E0-902407D5B7B4}"/>
    <cellStyle name="ItemTypeClass 17" xfId="10473" xr:uid="{B2A87AC1-7C3B-4577-B1BC-FC8E16A02861}"/>
    <cellStyle name="ItemTypeClass 18" xfId="10232" xr:uid="{60A3175A-66E7-40F5-90C5-6EE4040BBAB1}"/>
    <cellStyle name="ItemTypeClass 19" xfId="10475" xr:uid="{B2BF8BB0-7ECB-4A73-9563-7E58C86C3DCE}"/>
    <cellStyle name="ItemTypeClass 2" xfId="6861" xr:uid="{00000000-0005-0000-0000-0000041B0000}"/>
    <cellStyle name="ItemTypeClass 2 10" xfId="10127" xr:uid="{5E773C2C-00B8-414A-B1EE-63A686CE9DB7}"/>
    <cellStyle name="ItemTypeClass 2 11" xfId="10404" xr:uid="{E90905B2-2667-45C4-810C-60A438BD314C}"/>
    <cellStyle name="ItemTypeClass 2 12" xfId="10131" xr:uid="{681A94F8-E99A-4554-AAFF-E835D7F404F1}"/>
    <cellStyle name="ItemTypeClass 2 13" xfId="10134" xr:uid="{CCE8C6F3-4103-470E-85A9-28519E18B7C7}"/>
    <cellStyle name="ItemTypeClass 2 14" xfId="10410" xr:uid="{92B97646-926F-4B69-B4EC-A4C4936E6909}"/>
    <cellStyle name="ItemTypeClass 2 15" xfId="10137" xr:uid="{A1EC2C70-E546-4ED5-83CE-F7E79A981090}"/>
    <cellStyle name="ItemTypeClass 2 16" xfId="10413" xr:uid="{05A50834-765C-410D-B19F-225E0C5165DD}"/>
    <cellStyle name="ItemTypeClass 2 17" xfId="10140" xr:uid="{B18A7E1D-15D5-4102-9B0E-91509AB32BFA}"/>
    <cellStyle name="ItemTypeClass 2 18" xfId="10419" xr:uid="{40A15915-D1DD-4406-A231-FA5EF31F221E}"/>
    <cellStyle name="ItemTypeClass 2 19" xfId="10143" xr:uid="{D35CE1C7-C852-4530-89C5-76ED9E1CD746}"/>
    <cellStyle name="ItemTypeClass 2 2" xfId="10425" xr:uid="{C94A1CC8-78CF-4D29-83E4-6188F369993C}"/>
    <cellStyle name="ItemTypeClass 2 20" xfId="10416" xr:uid="{1912DF15-A7A1-4128-AA25-AA742611F0DC}"/>
    <cellStyle name="ItemTypeClass 2 21" xfId="10146" xr:uid="{C67E290F-6F2A-451D-903D-58A602982448}"/>
    <cellStyle name="ItemTypeClass 2 22" xfId="10149" xr:uid="{0716C162-F265-43B4-9057-AF1B73CB91CB}"/>
    <cellStyle name="ItemTypeClass 2 23" xfId="10154" xr:uid="{E2039CF4-2332-4DEA-9B7B-5EF09AA84736}"/>
    <cellStyle name="ItemTypeClass 2 24" xfId="10422" xr:uid="{FA121719-6BCF-43AA-82A8-56846B89DBD9}"/>
    <cellStyle name="ItemTypeClass 2 25" xfId="10152" xr:uid="{BAB7A733-A6E7-497D-B4EF-60DEAF3FAE88}"/>
    <cellStyle name="ItemTypeClass 2 26" xfId="11406" xr:uid="{B6A80A26-419F-40AE-B9F2-7F5F90CE3E63}"/>
    <cellStyle name="ItemTypeClass 2 27" xfId="11403" xr:uid="{F9C61CB9-A89F-40BB-ABA5-CEDCAE296ED4}"/>
    <cellStyle name="ItemTypeClass 2 3" xfId="10401" xr:uid="{65C80A27-AB60-4516-9C27-94A40567344B}"/>
    <cellStyle name="ItemTypeClass 2 4" xfId="10118" xr:uid="{AB499328-DC98-49E6-B7CD-281656BC3F86}"/>
    <cellStyle name="ItemTypeClass 2 5" xfId="10115" xr:uid="{ACF260CC-7541-4BB4-BD93-5C47EDE8ABFC}"/>
    <cellStyle name="ItemTypeClass 2 6" xfId="10395" xr:uid="{E3077AB5-0799-4693-969A-EDD74F6D3602}"/>
    <cellStyle name="ItemTypeClass 2 7" xfId="10122" xr:uid="{C6AA8FBC-A336-4235-8527-ABF5853F4EF3}"/>
    <cellStyle name="ItemTypeClass 2 8" xfId="10405" xr:uid="{52F2CC2D-6885-431F-AE21-1091BA3C40E1}"/>
    <cellStyle name="ItemTypeClass 2 9" xfId="10398" xr:uid="{00A46F64-F98E-40B9-A32A-3C32CF37F4E5}"/>
    <cellStyle name="ItemTypeClass 20" xfId="10482" xr:uid="{3C78EE54-5CB0-478E-A578-611926C3FDA8}"/>
    <cellStyle name="ItemTypeClass 21" xfId="10491" xr:uid="{8CE99C6E-3A22-4156-B9A7-AA1104AFDFFD}"/>
    <cellStyle name="ItemTypeClass 22" xfId="10242" xr:uid="{85FBFC1D-2B57-4BEA-8559-AB2069015684}"/>
    <cellStyle name="ItemTypeClass 23" xfId="10499" xr:uid="{B1BFB5B6-E70C-4A88-9E76-BA5166B36747}"/>
    <cellStyle name="ItemTypeClass 24" xfId="11357" xr:uid="{BB7068F7-AEF1-4E52-82A3-EC791DB1D219}"/>
    <cellStyle name="ItemTypeClass 25" xfId="11358" xr:uid="{14A98571-8955-4F10-BFC9-A349CBF6A46C}"/>
    <cellStyle name="ItemTypeClass 3" xfId="10126" xr:uid="{CE3D82CB-A9A8-4573-BF66-0FD2644BA2E4}"/>
    <cellStyle name="ItemTypeClass 4" xfId="10161" xr:uid="{41E7E8BB-D04B-4EC7-80EE-23EF7CFA3F71}"/>
    <cellStyle name="ItemTypeClass 5" xfId="10433" xr:uid="{AB6A6543-076C-41EC-98EB-843662515CCA}"/>
    <cellStyle name="ItemTypeClass 6" xfId="10437" xr:uid="{E214025B-E5CB-42BA-8D04-5263EC376F76}"/>
    <cellStyle name="ItemTypeClass 7" xfId="10166" xr:uid="{B5AFC655-1BD6-4AD0-AE1D-2713D632A0A0}"/>
    <cellStyle name="ItemTypeClass 8" xfId="10176" xr:uid="{E513CBE3-7F46-493F-BFC3-1EA6A8571764}"/>
    <cellStyle name="ItemTypeClass 9" xfId="10185" xr:uid="{A1B39084-9153-4397-8F60-7C114EB18234}"/>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e 2 2" xfId="10106" xr:uid="{637C47E7-ADD1-4075-8314-B019CAD0774C}"/>
    <cellStyle name="Line 2 3" xfId="11396" xr:uid="{AADA57FD-D12B-425A-B464-8A6ECD3BCF29}"/>
    <cellStyle name="Line 3" xfId="10438" xr:uid="{4F5A3709-C97F-4287-995A-1DB4072B39FB}"/>
    <cellStyle name="Line 4" xfId="10445" xr:uid="{9E92F6AC-AE92-4508-BB1D-68757C57368A}"/>
    <cellStyle name="Line 5" xfId="10210" xr:uid="{9CF0FB1C-C425-4896-8B29-3FBF6146C863}"/>
    <cellStyle name="Line 6" xfId="10465" xr:uid="{1C42D53F-01B5-4BEF-9B5C-B2AA24643EA2}"/>
    <cellStyle name="Line 7" xfId="10217" xr:uid="{B940A33E-BCD0-43D1-AFA6-E166780D7789}"/>
    <cellStyle name="Line 8" xfId="10476" xr:uid="{36AF28F0-129C-4872-A676-69571F4DD65C}"/>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d/yy 2 2" xfId="10107" xr:uid="{0997D59E-2C12-44FF-8DF7-7C82E16FDA73}"/>
    <cellStyle name="m/d/yy 2 3" xfId="11397" xr:uid="{6176068D-4F30-4987-9737-3C35489279C2}"/>
    <cellStyle name="m/d/yy 3" xfId="10435" xr:uid="{4955C63C-DF42-402D-9FE9-CDAAA4699DC6}"/>
    <cellStyle name="m/d/yy 4" xfId="10442" xr:uid="{9322B73D-3B28-4CFA-A99D-5AF65686365C}"/>
    <cellStyle name="m/d/yy 5" xfId="10205" xr:uid="{C7C592BA-30E2-44D1-B18A-7571D7476E9D}"/>
    <cellStyle name="m/d/yy 6" xfId="10457" xr:uid="{88F96CCA-F8B5-4CD4-9525-6FCE7545A391}"/>
    <cellStyle name="m/d/yy 7" xfId="10215" xr:uid="{AB62836C-2045-43B6-BFD6-78EBBE1455E9}"/>
    <cellStyle name="m/d/yy 8" xfId="10463" xr:uid="{9A2C0BD8-87EC-481F-BD25-971280EAF3C5}"/>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10" xfId="10164" xr:uid="{824393FA-B3AB-4D3C-A412-1AC1F6C722B7}"/>
    <cellStyle name="Normal 13 11" xfId="10430" xr:uid="{0554994B-2ABB-4BA1-A09D-9008338DA392}"/>
    <cellStyle name="Normal 13 12" xfId="10431" xr:uid="{5BE470B7-5D18-499C-9657-1F9C50780432}"/>
    <cellStyle name="Normal 13 13" xfId="10168" xr:uid="{D047471A-8D25-4DB5-9B78-71A945462521}"/>
    <cellStyle name="Normal 13 14" xfId="10432" xr:uid="{4AF8C14E-C06D-4883-8FB4-8B6BEEB9A86B}"/>
    <cellStyle name="Normal 13 15" xfId="10174" xr:uid="{9061AE0D-5E5B-4944-84BE-77F2FA551687}"/>
    <cellStyle name="Normal 13 16" xfId="10182" xr:uid="{7020139E-8184-438A-B0BB-1896D47F0443}"/>
    <cellStyle name="Normal 13 17" xfId="10434" xr:uid="{37A83567-881C-4D4E-9AA6-C15C0DF42E7F}"/>
    <cellStyle name="Normal 13 18" xfId="10195" xr:uid="{4318253B-8376-4A87-B999-47BF8DD9140B}"/>
    <cellStyle name="Normal 13 19" xfId="10208" xr:uid="{44911F0E-7886-4BBA-8B9A-905401DE1887}"/>
    <cellStyle name="Normal 13 2" xfId="2419" xr:uid="{00000000-0005-0000-0000-0000671B0000}"/>
    <cellStyle name="Normal 13 20" xfId="10440" xr:uid="{391E3B9F-EE21-484C-A0DE-C0A18BB55D30}"/>
    <cellStyle name="Normal 13 21" xfId="10448" xr:uid="{A908C5C8-66AB-4987-B400-8FA1ADD05B99}"/>
    <cellStyle name="Normal 13 22" xfId="10227" xr:uid="{AF13A47B-0638-436E-A4D8-DFA89FE5790C}"/>
    <cellStyle name="Normal 13 23" xfId="10451" xr:uid="{90F27EE8-AA00-4828-B014-C1EB2FC299D1}"/>
    <cellStyle name="Normal 13 24" xfId="11409" xr:uid="{C2B06FAC-54D8-474D-9650-BC1966BF4826}"/>
    <cellStyle name="Normal 13 25" xfId="11356" xr:uid="{B29EBBE1-093B-429B-992A-A6089B212B8A}"/>
    <cellStyle name="Normal 13 3" xfId="2420" xr:uid="{00000000-0005-0000-0000-0000681B0000}"/>
    <cellStyle name="Normal 13 4" xfId="10130" xr:uid="{1F2DCE26-B175-41A2-AC71-6FD8B433BEB9}"/>
    <cellStyle name="Normal 13 5" xfId="10158" xr:uid="{98A03EAD-113C-4A0F-9229-F55B718647EC}"/>
    <cellStyle name="Normal 13 6" xfId="10428" xr:uid="{53D871A3-DD8A-4777-BD42-E54DA29A2D1E}"/>
    <cellStyle name="Normal 13 7" xfId="10159" xr:uid="{E551748A-3D69-4169-8A5E-7DEB1E74F997}"/>
    <cellStyle name="Normal 13 8" xfId="10160" xr:uid="{DA9C5BAF-5B0D-4515-B90C-AEC7A1AD05D9}"/>
    <cellStyle name="Normal 13 9" xfId="10429" xr:uid="{DEFF8407-EAEC-4822-AAA7-B13BB96E6804}"/>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12 10" xfId="10703" xr:uid="{B41972B6-3C2F-462A-9330-12E203C91DA4}"/>
    <cellStyle name="Note 2 12 11" xfId="11091" xr:uid="{295311AF-081A-487C-A133-8E8272A9E5BF}"/>
    <cellStyle name="Note 2 12 12" xfId="10749" xr:uid="{0D293BC3-848F-4D56-AA28-7898B3905CCA}"/>
    <cellStyle name="Note 2 12 13" xfId="11142" xr:uid="{E06E37BB-2ED5-4251-8C6E-CE6341DD0F48}"/>
    <cellStyle name="Note 2 12 14" xfId="11220" xr:uid="{FF315AEB-08CB-4095-98AB-D4F483AA6F60}"/>
    <cellStyle name="Note 2 12 15" xfId="11272" xr:uid="{F8651D27-C43F-4578-90F0-C2C9DF0D2660}"/>
    <cellStyle name="Note 2 12 16" xfId="11298" xr:uid="{D7D81CA3-BF66-4A64-8D68-4FFEDB32AE9C}"/>
    <cellStyle name="Note 2 12 17" xfId="11340" xr:uid="{2CF99E14-9958-4B4D-8BFE-0A72B748D835}"/>
    <cellStyle name="Note 2 12 18" xfId="11469" xr:uid="{55850EFA-721D-43B4-823F-198BFFAD5EFB}"/>
    <cellStyle name="Note 2 12 2" xfId="10638" xr:uid="{49564144-FB5B-4167-B085-8BF90615B27C}"/>
    <cellStyle name="Note 2 12 3" xfId="10794" xr:uid="{1BDBC0AF-FCCD-4E1C-B615-80AAD3F0F7DF}"/>
    <cellStyle name="Note 2 12 4" xfId="10836" xr:uid="{642DA2E5-411E-4F0E-997E-518E9C9CD2A3}"/>
    <cellStyle name="Note 2 12 5" xfId="10864" xr:uid="{49D1FA37-2D5C-4C95-857C-DC30BECBDCCE}"/>
    <cellStyle name="Note 2 12 6" xfId="10665" xr:uid="{F99E170F-4164-4E40-9C9B-B3ECC3F6BE91}"/>
    <cellStyle name="Note 2 12 7" xfId="10927" xr:uid="{975D90E1-0413-4398-ADE2-FE30AA47B282}"/>
    <cellStyle name="Note 2 12 8" xfId="10983" xr:uid="{B34CF1F8-7BBA-43B6-8CE7-B60311CF5F9D}"/>
    <cellStyle name="Note 2 12 9" xfId="11020" xr:uid="{A0DE492C-A77A-40BB-A066-395828056B2E}"/>
    <cellStyle name="Note 2 13" xfId="10744" xr:uid="{091E38B2-7685-4708-A100-CAEA8262C7BE}"/>
    <cellStyle name="Note 2 14" xfId="10829" xr:uid="{0F1948D3-7B0E-44C1-A160-2CC6293D9167}"/>
    <cellStyle name="Note 2 15" xfId="10922" xr:uid="{322AF18F-47F0-4298-9136-8F73A2EF0C58}"/>
    <cellStyle name="Note 2 16" xfId="11013" xr:uid="{EC4084AC-3EAF-4018-9F25-CE9AD774BE68}"/>
    <cellStyle name="Note 2 17" xfId="11063" xr:uid="{A0A98246-D7BB-4180-B24A-6B541F3E5812}"/>
    <cellStyle name="Note 2 18" xfId="11185" xr:uid="{E1D7058F-C4F1-40CE-A530-F2CBF6AC45B0}"/>
    <cellStyle name="Note 2 19" xfId="11253" xr:uid="{36A6A019-C130-4658-8C92-B5A094054D17}"/>
    <cellStyle name="Note 2 2" xfId="67" xr:uid="{00000000-0005-0000-0000-0000CD230000}"/>
    <cellStyle name="Note 2 2 10" xfId="11057" xr:uid="{0D0E1548-7DEE-48EB-813C-9A01C1D76616}"/>
    <cellStyle name="Note 2 2 11" xfId="11179" xr:uid="{E20606E2-A54A-40FA-A191-2AFAD455F90E}"/>
    <cellStyle name="Note 2 2 12" xfId="11246" xr:uid="{E12FC9E0-1A52-416F-A429-6360A2A2DB88}"/>
    <cellStyle name="Note 2 2 2" xfId="87" xr:uid="{00000000-0005-0000-0000-0000CE230000}"/>
    <cellStyle name="Note 2 2 2 10" xfId="11167" xr:uid="{089D0778-1C85-42AB-8345-3F40C6378EC5}"/>
    <cellStyle name="Note 2 2 2 11" xfId="11195" xr:uid="{344B4243-8F76-4106-A4A2-249244A6CAB4}"/>
    <cellStyle name="Note 2 2 2 2" xfId="4555" xr:uid="{00000000-0005-0000-0000-0000CF230000}"/>
    <cellStyle name="Note 2 2 2 3" xfId="4556" xr:uid="{00000000-0005-0000-0000-0000D0230000}"/>
    <cellStyle name="Note 2 2 2 4" xfId="9769" xr:uid="{00000000-0005-0000-0000-0000D1230000}"/>
    <cellStyle name="Note 2 2 2 4 10" xfId="11077" xr:uid="{A593BC08-FB9B-40C6-B258-AF2F96E26146}"/>
    <cellStyle name="Note 2 2 2 4 11" xfId="11109" xr:uid="{7E14A599-31EC-45C5-A849-0C53B4CE3D26}"/>
    <cellStyle name="Note 2 2 2 4 12" xfId="11134" xr:uid="{248D9193-51C3-4250-928C-37F6BD26C588}"/>
    <cellStyle name="Note 2 2 2 4 13" xfId="11160" xr:uid="{B6436B03-BBB2-4D82-8808-C4618EF009A8}"/>
    <cellStyle name="Note 2 2 2 4 14" xfId="11238" xr:uid="{0DEA4122-CC6F-4C99-A159-19078AC58760}"/>
    <cellStyle name="Note 2 2 2 4 15" xfId="11292" xr:uid="{B8FFAC9A-2BEE-4244-A4D4-6200F4EAAD28}"/>
    <cellStyle name="Note 2 2 2 4 16" xfId="11318" xr:uid="{D7E196D8-118E-45CF-BB2C-E84ACF534EED}"/>
    <cellStyle name="Note 2 2 2 4 17" xfId="11445" xr:uid="{E9CBD27B-2B5A-4B64-9065-D2558BBD2846}"/>
    <cellStyle name="Note 2 2 2 4 18" xfId="11489" xr:uid="{D1C413D9-380C-4F72-B8FC-E6DA2FBA2DFE}"/>
    <cellStyle name="Note 2 2 2 4 2" xfId="10772" xr:uid="{801DA289-1AB2-4730-807B-81504D0863ED}"/>
    <cellStyle name="Note 2 2 2 4 3" xfId="10814" xr:uid="{BAF15515-9A56-4AD1-8BCB-EC8E6E1B599B}"/>
    <cellStyle name="Note 2 2 2 4 4" xfId="10856" xr:uid="{F9E4A481-B4BB-47C9-80E1-07A00283901E}"/>
    <cellStyle name="Note 2 2 2 4 5" xfId="10884" xr:uid="{D22CACBF-739C-4B35-9D44-D3E92EE00FAE}"/>
    <cellStyle name="Note 2 2 2 4 6" xfId="10899" xr:uid="{2757F7B7-3CFE-4E17-B827-7BD7AB542E0A}"/>
    <cellStyle name="Note 2 2 2 4 7" xfId="10947" xr:uid="{E1E12CE4-04DF-4863-8B99-3B611C9D93CB}"/>
    <cellStyle name="Note 2 2 2 4 8" xfId="11003" xr:uid="{19AE2C2F-90A2-4179-8713-18AFB8BFB69D}"/>
    <cellStyle name="Note 2 2 2 4 9" xfId="11040" xr:uid="{E75D3795-4FFB-4803-BEB3-C4D9239C03D7}"/>
    <cellStyle name="Note 2 2 2 5" xfId="10724" xr:uid="{3A229F91-4EF9-44BD-A446-BFFA9068FCE0}"/>
    <cellStyle name="Note 2 2 2 6" xfId="10780" xr:uid="{B7B5D4F7-1821-460C-B24F-5BD30FCCDAAC}"/>
    <cellStyle name="Note 2 2 2 7" xfId="10904" xr:uid="{9FE5CCAF-0E5A-4129-848F-2D9ADAFD3E9F}"/>
    <cellStyle name="Note 2 2 2 8" xfId="10960" xr:uid="{9AB16E08-E9DC-4DA7-9923-9D468709122B}"/>
    <cellStyle name="Note 2 2 2 9" xfId="11045" xr:uid="{E61E1159-A622-418B-BE8C-BDDA9CEB36A7}"/>
    <cellStyle name="Note 2 2 3" xfId="4557" xr:uid="{00000000-0005-0000-0000-0000D2230000}"/>
    <cellStyle name="Note 2 2 4" xfId="4558" xr:uid="{00000000-0005-0000-0000-0000D3230000}"/>
    <cellStyle name="Note 2 2 5" xfId="9755" xr:uid="{00000000-0005-0000-0000-0000D4230000}"/>
    <cellStyle name="Note 2 2 5 10" xfId="10693" xr:uid="{1AFE2D6A-F541-42BF-83DB-121A54D569CF}"/>
    <cellStyle name="Note 2 2 5 11" xfId="11097" xr:uid="{8F392BE0-2903-46FD-B6AD-EA8ECE0A65D6}"/>
    <cellStyle name="Note 2 2 5 12" xfId="11120" xr:uid="{26E1659C-BA47-410B-A233-8D33F97CC355}"/>
    <cellStyle name="Note 2 2 5 13" xfId="11148" xr:uid="{FFA0F4E5-CC51-49AB-AB71-5EA1C9B8FAA1}"/>
    <cellStyle name="Note 2 2 5 14" xfId="11226" xr:uid="{39F852A7-236B-4552-80E9-054F5481F82A}"/>
    <cellStyle name="Note 2 2 5 15" xfId="11278" xr:uid="{794E6768-62CB-44A5-A401-21918254BDA8}"/>
    <cellStyle name="Note 2 2 5 16" xfId="11304" xr:uid="{B44C04A0-87D4-46A4-BD4A-35AC310BDA7E}"/>
    <cellStyle name="Note 2 2 5 17" xfId="11433" xr:uid="{E4ED43A0-1DE6-4749-AA29-5FA2F40CA80B}"/>
    <cellStyle name="Note 2 2 5 18" xfId="11475" xr:uid="{FA170226-2565-439E-9493-9F0A0A6F9A24}"/>
    <cellStyle name="Note 2 2 5 2" xfId="10644" xr:uid="{007E76BF-842F-4C5C-84A9-68F6321B6F58}"/>
    <cellStyle name="Note 2 2 5 3" xfId="10800" xr:uid="{B69B1424-1439-4C22-8AF3-39B98CD46547}"/>
    <cellStyle name="Note 2 2 5 4" xfId="10842" xr:uid="{1EBB0F99-7663-400E-B4FA-D4B9FEAE2FB9}"/>
    <cellStyle name="Note 2 2 5 5" xfId="10870" xr:uid="{8A1610AF-9C2B-48C2-A521-62F59D5D7423}"/>
    <cellStyle name="Note 2 2 5 6" xfId="10659" xr:uid="{8ED48049-8145-477D-876F-95C54466F5E5}"/>
    <cellStyle name="Note 2 2 5 7" xfId="10933" xr:uid="{0C6E8440-A459-46CB-A226-94D7917F441F}"/>
    <cellStyle name="Note 2 2 5 8" xfId="10989" xr:uid="{DDC6AE70-B1D2-4485-AF17-37D55BF741B3}"/>
    <cellStyle name="Note 2 2 5 9" xfId="11026" xr:uid="{DB3A3714-EC3C-48C6-B5FD-422317F4A240}"/>
    <cellStyle name="Note 2 2 6" xfId="10736" xr:uid="{84D62B63-6A82-4A73-9DD3-1482852285EB}"/>
    <cellStyle name="Note 2 2 7" xfId="10820" xr:uid="{A56B8D0E-2245-4823-8D0D-B867C5370B2E}"/>
    <cellStyle name="Note 2 2 8" xfId="10916" xr:uid="{416C751D-DE02-40C4-987F-BA1FD34434A5}"/>
    <cellStyle name="Note 2 2 9" xfId="11007" xr:uid="{254425FB-018A-49D8-BF56-DA5C6CA3FA25}"/>
    <cellStyle name="Note 2 3" xfId="81" xr:uid="{00000000-0005-0000-0000-0000D5230000}"/>
    <cellStyle name="Note 2 3 10" xfId="11213" xr:uid="{D325D4DA-7773-4F85-9C43-F491AF257F46}"/>
    <cellStyle name="Note 2 3 2" xfId="4559" xr:uid="{00000000-0005-0000-0000-0000D6230000}"/>
    <cellStyle name="Note 2 3 3" xfId="9763" xr:uid="{00000000-0005-0000-0000-0000D7230000}"/>
    <cellStyle name="Note 2 3 3 10" xfId="10709" xr:uid="{E310856A-87F3-45FB-833D-E0EBD6D85EF8}"/>
    <cellStyle name="Note 2 3 3 11" xfId="11103" xr:uid="{05BA9192-8CC5-4B63-881A-469DD61F155A}"/>
    <cellStyle name="Note 2 3 3 12" xfId="11128" xr:uid="{4C639DF4-40B2-40DE-AB96-D97662081D9A}"/>
    <cellStyle name="Note 2 3 3 13" xfId="11154" xr:uid="{0BE2C75E-571B-4C37-B283-5485CB248866}"/>
    <cellStyle name="Note 2 3 3 14" xfId="11232" xr:uid="{AEEB1EAC-703C-43A2-8E13-BFE30C9746ED}"/>
    <cellStyle name="Note 2 3 3 15" xfId="11286" xr:uid="{4F6D3569-7AAC-4211-A9B5-7995E8B98060}"/>
    <cellStyle name="Note 2 3 3 16" xfId="11312" xr:uid="{2DB69256-541F-4EBE-A3B9-04794E0FE647}"/>
    <cellStyle name="Note 2 3 3 17" xfId="11439" xr:uid="{953E74E3-265D-460B-956C-DD4D608AD2A8}"/>
    <cellStyle name="Note 2 3 3 18" xfId="11483" xr:uid="{F47AEEE0-FE8B-47BB-BA79-7187ACF534B1}"/>
    <cellStyle name="Note 2 3 3 2" xfId="10626" xr:uid="{03CB4D75-D9CE-486C-8943-DC9DC4C5B117}"/>
    <cellStyle name="Note 2 3 3 3" xfId="10808" xr:uid="{8882AA29-26FF-40A1-B1A4-4BDA934A4FC9}"/>
    <cellStyle name="Note 2 3 3 4" xfId="10850" xr:uid="{174F7C0E-2EB6-40ED-8B5C-C2214DB1D101}"/>
    <cellStyle name="Note 2 3 3 5" xfId="10878" xr:uid="{029ECB46-EA4C-4DA2-9DE9-A2CDF80108AF}"/>
    <cellStyle name="Note 2 3 3 6" xfId="10893" xr:uid="{415E4B22-EC45-4D1D-81D1-88156E0C2FDC}"/>
    <cellStyle name="Note 2 3 3 7" xfId="10941" xr:uid="{C1E846E9-7A61-4762-A238-121525A47A35}"/>
    <cellStyle name="Note 2 3 3 8" xfId="10997" xr:uid="{ECDD3D21-2E22-4562-A9D2-4DA68A8D8529}"/>
    <cellStyle name="Note 2 3 3 9" xfId="11034" xr:uid="{E7A448CC-892E-40AF-B0C4-E631126348FE}"/>
    <cellStyle name="Note 2 3 4" xfId="10730" xr:uid="{1CB4E192-886F-4CD9-8178-B5CDF5D7CCC6}"/>
    <cellStyle name="Note 2 3 5" xfId="10786" xr:uid="{92CEB542-06DB-4072-A490-ACA92FD82120}"/>
    <cellStyle name="Note 2 3 6" xfId="10910" xr:uid="{717A4443-3135-4D9B-ABB6-0F11CFE23C96}"/>
    <cellStyle name="Note 2 3 7" xfId="10966" xr:uid="{F84C1B20-1C64-4AE8-983E-57FF2BCE6FFE}"/>
    <cellStyle name="Note 2 3 8" xfId="11051" xr:uid="{B7C7E3B8-54EC-4C64-BF5E-371B137DB588}"/>
    <cellStyle name="Note 2 3 9" xfId="11173" xr:uid="{BE957A82-29D2-450B-A82C-FAFCA71B59BD}"/>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10" xfId="11186" xr:uid="{96371092-8373-4552-8983-44D8D05F6AEA}"/>
    <cellStyle name="Note 3 11" xfId="11254" xr:uid="{DBC03953-929F-4682-AECD-265935B049F1}"/>
    <cellStyle name="Note 3 2" xfId="66" xr:uid="{00000000-0005-0000-0000-0000DF230000}"/>
    <cellStyle name="Note 3 2 10" xfId="11247" xr:uid="{DE1C0ADB-FD40-42CA-BE18-7E41E48A2444}"/>
    <cellStyle name="Note 3 2 2" xfId="86" xr:uid="{00000000-0005-0000-0000-0000E0230000}"/>
    <cellStyle name="Note 3 2 2 2" xfId="9768" xr:uid="{00000000-0005-0000-0000-0000E1230000}"/>
    <cellStyle name="Note 3 2 2 2 10" xfId="11076" xr:uid="{7EDAEF3B-3B15-4D24-B817-E16C60C7B8A0}"/>
    <cellStyle name="Note 3 2 2 2 11" xfId="11108" xr:uid="{DC21B983-3B3B-4873-982E-F7CE1C85AC00}"/>
    <cellStyle name="Note 3 2 2 2 12" xfId="11133" xr:uid="{6C27E3A6-A2D5-47DB-8E7B-7488A1B8CE98}"/>
    <cellStyle name="Note 3 2 2 2 13" xfId="11159" xr:uid="{EEF67A5A-1599-4D6E-A0BE-DD0ED9DB2B1B}"/>
    <cellStyle name="Note 3 2 2 2 14" xfId="11237" xr:uid="{55FD19DE-4F06-440A-85F0-3CAB496E3D9A}"/>
    <cellStyle name="Note 3 2 2 2 15" xfId="11291" xr:uid="{9002D947-6753-43B3-AB42-BC5D4F58D943}"/>
    <cellStyle name="Note 3 2 2 2 16" xfId="11317" xr:uid="{E8A6DA81-4C65-4ADC-8435-4F0F191FAD33}"/>
    <cellStyle name="Note 3 2 2 2 17" xfId="11444" xr:uid="{06D880EC-075F-4F1C-A4C0-F42338DA1336}"/>
    <cellStyle name="Note 3 2 2 2 18" xfId="11488" xr:uid="{8CB45B54-986B-48A7-AD98-C2198AFCAD53}"/>
    <cellStyle name="Note 3 2 2 2 2" xfId="10633" xr:uid="{3C5BF0BB-67AE-4F3F-83F8-5CFFBAD008CD}"/>
    <cellStyle name="Note 3 2 2 2 3" xfId="10813" xr:uid="{49BEAFF5-FBC0-424F-8C96-4CF5B0D35C4C}"/>
    <cellStyle name="Note 3 2 2 2 4" xfId="10855" xr:uid="{4FC0D73C-28BE-480C-8E50-4F0D357290CA}"/>
    <cellStyle name="Note 3 2 2 2 5" xfId="10883" xr:uid="{46A9976C-815B-4DFD-9224-5690CA84D976}"/>
    <cellStyle name="Note 3 2 2 2 6" xfId="10898" xr:uid="{10771B4A-8199-494B-A8CE-598C7CBCB99A}"/>
    <cellStyle name="Note 3 2 2 2 7" xfId="10946" xr:uid="{3FB1C81D-C75D-477B-906E-9F2ABA44A836}"/>
    <cellStyle name="Note 3 2 2 2 8" xfId="11002" xr:uid="{888CE964-D1A5-4698-9C10-39547011D94F}"/>
    <cellStyle name="Note 3 2 2 2 9" xfId="11039" xr:uid="{50579938-5DB7-4A2B-A4B3-D466A5E851D8}"/>
    <cellStyle name="Note 3 2 2 3" xfId="10725" xr:uid="{070E8B67-342F-4ED1-8560-758E0985E635}"/>
    <cellStyle name="Note 3 2 2 4" xfId="10781" xr:uid="{6B396A8C-BBDD-4020-AB1B-128A6E715683}"/>
    <cellStyle name="Note 3 2 2 5" xfId="10905" xr:uid="{74422B57-4F8E-4963-B49E-9B41A900AC5D}"/>
    <cellStyle name="Note 3 2 2 6" xfId="10961" xr:uid="{960BBFCB-44B4-430D-8D0E-6CC6FFA207E4}"/>
    <cellStyle name="Note 3 2 2 7" xfId="11046" xr:uid="{33C9D40E-8090-4F59-98C2-A1F5A48C1661}"/>
    <cellStyle name="Note 3 2 2 8" xfId="11168" xr:uid="{9BA1CC00-6161-49CF-A389-AD1D3D517D19}"/>
    <cellStyle name="Note 3 2 2 9" xfId="11196" xr:uid="{00247864-EFB8-40F0-849F-C21F86A6813A}"/>
    <cellStyle name="Note 3 2 3" xfId="9754" xr:uid="{00000000-0005-0000-0000-0000E2230000}"/>
    <cellStyle name="Note 3 2 3 10" xfId="10708" xr:uid="{D85635A8-C8C1-49E9-9B29-279676E2F472}"/>
    <cellStyle name="Note 3 2 3 11" xfId="11096" xr:uid="{CBCE90C5-ECD0-4361-8673-27F6793B7C0F}"/>
    <cellStyle name="Note 3 2 3 12" xfId="11119" xr:uid="{8704A3A6-0895-438D-BB8C-67226E888D16}"/>
    <cellStyle name="Note 3 2 3 13" xfId="11147" xr:uid="{32CA7442-E875-4DD7-B8A6-73BAE29FED7C}"/>
    <cellStyle name="Note 3 2 3 14" xfId="11225" xr:uid="{4BAA85C5-1DD9-4133-AB1E-E10979070633}"/>
    <cellStyle name="Note 3 2 3 15" xfId="11277" xr:uid="{85650A5D-05AC-4C90-BFE7-49495BCE1013}"/>
    <cellStyle name="Note 3 2 3 16" xfId="11303" xr:uid="{70F7D001-52EC-4F34-AAB2-E8EF028F2369}"/>
    <cellStyle name="Note 3 2 3 17" xfId="11432" xr:uid="{349E2A90-FEEC-42F1-9DF0-B62354785899}"/>
    <cellStyle name="Note 3 2 3 18" xfId="11474" xr:uid="{3C0DB7C0-F39E-4DF9-AAEE-86A632C88E28}"/>
    <cellStyle name="Note 3 2 3 2" xfId="10643" xr:uid="{44D94BC8-F474-4675-9129-1B8749A7A4B6}"/>
    <cellStyle name="Note 3 2 3 3" xfId="10799" xr:uid="{F15ED283-C84C-4AF0-9B0A-CD2A7A3937C7}"/>
    <cellStyle name="Note 3 2 3 4" xfId="10841" xr:uid="{DFF9DB97-BCF4-44A6-B80E-BBE1E5956183}"/>
    <cellStyle name="Note 3 2 3 5" xfId="10869" xr:uid="{EEA88F64-35A4-4909-B56B-8939FDD91F87}"/>
    <cellStyle name="Note 3 2 3 6" xfId="10658" xr:uid="{A047B0EE-853A-495B-ADE5-172C9AE207BF}"/>
    <cellStyle name="Note 3 2 3 7" xfId="10932" xr:uid="{E153F2C1-D85E-4DFE-BA16-367C3E032FEF}"/>
    <cellStyle name="Note 3 2 3 8" xfId="10988" xr:uid="{F7275128-D570-4090-9B3F-7E01CC12F478}"/>
    <cellStyle name="Note 3 2 3 9" xfId="11025" xr:uid="{F15D7052-438E-4400-9DCE-19AC6C348CCE}"/>
    <cellStyle name="Note 3 2 4" xfId="10737" xr:uid="{3580FAB0-B24B-43C1-A747-B4B73F08E1E0}"/>
    <cellStyle name="Note 3 2 5" xfId="10821" xr:uid="{38D09AA1-8C5F-4342-BFB8-9C0B4E1ECDEB}"/>
    <cellStyle name="Note 3 2 6" xfId="10917" xr:uid="{7EAE124C-9B89-4103-93BD-C15DF85F4F01}"/>
    <cellStyle name="Note 3 2 7" xfId="11008" xr:uid="{7F6FE80C-594B-437B-B5C4-FB41E37D3095}"/>
    <cellStyle name="Note 3 2 8" xfId="11058" xr:uid="{86FC0FD1-31EF-4204-B1F7-611407CBD451}"/>
    <cellStyle name="Note 3 2 9" xfId="11180" xr:uid="{E13FB6B6-D8D8-4202-B4EC-DF7D8BE57272}"/>
    <cellStyle name="Note 3 3" xfId="80" xr:uid="{00000000-0005-0000-0000-0000E3230000}"/>
    <cellStyle name="Note 3 3 2" xfId="9762" xr:uid="{00000000-0005-0000-0000-0000E4230000}"/>
    <cellStyle name="Note 3 3 2 10" xfId="10690" xr:uid="{1F651F03-986B-4011-9373-8D364F702943}"/>
    <cellStyle name="Note 3 3 2 11" xfId="11102" xr:uid="{4EB03DB6-B90C-4133-B581-4CFEADFBF294}"/>
    <cellStyle name="Note 3 3 2 12" xfId="11127" xr:uid="{4F46107C-0044-45A5-8EF0-FF2ABB932294}"/>
    <cellStyle name="Note 3 3 2 13" xfId="11153" xr:uid="{3517907C-C758-4A4B-80A4-FF36D2F92E21}"/>
    <cellStyle name="Note 3 3 2 14" xfId="11231" xr:uid="{62B601A6-C47C-47FB-ADE5-9FFC0275BC22}"/>
    <cellStyle name="Note 3 3 2 15" xfId="11285" xr:uid="{74DE7E89-17D0-4FEA-847E-C415F6F3DB18}"/>
    <cellStyle name="Note 3 3 2 16" xfId="11311" xr:uid="{B291ED79-4C48-413E-A1AC-B995973D5976}"/>
    <cellStyle name="Note 3 3 2 17" xfId="11438" xr:uid="{EA99B32A-723D-4017-81E1-0A5B4B6944D4}"/>
    <cellStyle name="Note 3 3 2 18" xfId="11482" xr:uid="{F37E5AC1-8C68-4AD1-AD3B-1BF6F4A85D7A}"/>
    <cellStyle name="Note 3 3 2 2" xfId="10631" xr:uid="{480B09D8-679E-4842-B782-FC8804E72AD8}"/>
    <cellStyle name="Note 3 3 2 3" xfId="10807" xr:uid="{B3D2BCAF-E917-4B45-BBD1-4ADE04892BC9}"/>
    <cellStyle name="Note 3 3 2 4" xfId="10849" xr:uid="{C187ED27-3615-4620-81A9-A45A548AB88E}"/>
    <cellStyle name="Note 3 3 2 5" xfId="10877" xr:uid="{DDDF21A4-3791-47E8-A85D-821208045273}"/>
    <cellStyle name="Note 3 3 2 6" xfId="10661" xr:uid="{3823880D-80F0-49E4-A158-4448773401E6}"/>
    <cellStyle name="Note 3 3 2 7" xfId="10940" xr:uid="{7F510969-D209-48BA-82D3-0AA57EB118F0}"/>
    <cellStyle name="Note 3 3 2 8" xfId="10996" xr:uid="{E36A8852-C2A3-43D8-B11C-D02A725F73E5}"/>
    <cellStyle name="Note 3 3 2 9" xfId="11033" xr:uid="{8F86A94B-010F-49C8-9E8F-5508D26BF904}"/>
    <cellStyle name="Note 3 3 3" xfId="10731" xr:uid="{6DD3A380-5B72-4FBA-9771-BA5883E2EDF3}"/>
    <cellStyle name="Note 3 3 4" xfId="10787" xr:uid="{11C042D2-5C43-4ACC-80AF-6E8293D6EEBC}"/>
    <cellStyle name="Note 3 3 5" xfId="10911" xr:uid="{2E6BB0BA-04A9-481A-AC76-59608FD32785}"/>
    <cellStyle name="Note 3 3 6" xfId="10967" xr:uid="{B9FA93AE-A9D2-4F8B-9CEC-EDE6F3C0B3F9}"/>
    <cellStyle name="Note 3 3 7" xfId="11052" xr:uid="{F9D89167-485C-433C-8546-995C773465EC}"/>
    <cellStyle name="Note 3 3 8" xfId="11174" xr:uid="{F3EF5961-5614-4278-87CB-37425C50D6A6}"/>
    <cellStyle name="Note 3 3 9" xfId="11214" xr:uid="{96C73D14-1C8A-4946-8E00-9B5C6BFBF395}"/>
    <cellStyle name="Note 3 4" xfId="9748" xr:uid="{00000000-0005-0000-0000-0000E5230000}"/>
    <cellStyle name="Note 3 4 10" xfId="10702" xr:uid="{8F1F8FF1-89A8-4B71-BA47-45EAD8A707E1}"/>
    <cellStyle name="Note 3 4 11" xfId="11090" xr:uid="{7FD90B95-E1DF-4A0F-852B-9350185476BB}"/>
    <cellStyle name="Note 3 4 12" xfId="10711" xr:uid="{F84D1DAD-D119-42B9-B042-3FDCBF9D2105}"/>
    <cellStyle name="Note 3 4 13" xfId="11141" xr:uid="{297AC2F1-407A-4F99-8FDA-EABB144C51D0}"/>
    <cellStyle name="Note 3 4 14" xfId="11219" xr:uid="{464338F2-8CDE-4F0B-BAAD-A49CAC44BBC1}"/>
    <cellStyle name="Note 3 4 15" xfId="11271" xr:uid="{E03EAC4E-8907-4F26-98D7-50915864F3B2}"/>
    <cellStyle name="Note 3 4 16" xfId="11297" xr:uid="{21DCC8C8-A11C-4E19-A505-2FED9ACCE3FA}"/>
    <cellStyle name="Note 3 4 17" xfId="11339" xr:uid="{D5D11D30-89CD-4140-B6E3-ABDE8FBAEE51}"/>
    <cellStyle name="Note 3 4 18" xfId="11468" xr:uid="{8E4546FA-9E7E-47A6-9485-DCB7393FE38D}"/>
    <cellStyle name="Note 3 4 2" xfId="10637" xr:uid="{83045A60-04D8-4342-AA19-1DCF6309DD16}"/>
    <cellStyle name="Note 3 4 3" xfId="10793" xr:uid="{9A688202-5D0E-4402-A6FA-DD8A02154AE6}"/>
    <cellStyle name="Note 3 4 4" xfId="10835" xr:uid="{15546B8B-4333-44A1-AC16-A95063C12E7C}"/>
    <cellStyle name="Note 3 4 5" xfId="10863" xr:uid="{3A7B39A5-84F5-4BAD-B95B-4B89740E1ACB}"/>
    <cellStyle name="Note 3 4 6" xfId="10664" xr:uid="{0D18D6B4-53C1-433C-B303-D89DE2800B06}"/>
    <cellStyle name="Note 3 4 7" xfId="10926" xr:uid="{E0988FDD-C759-4820-929B-1B4B25DA813D}"/>
    <cellStyle name="Note 3 4 8" xfId="10982" xr:uid="{E3CDC376-6B0A-4109-8B93-04D0B23F401D}"/>
    <cellStyle name="Note 3 4 9" xfId="11019" xr:uid="{12CE31F9-C908-46F1-803E-301F3E366BAE}"/>
    <cellStyle name="Note 3 5" xfId="10745" xr:uid="{22941EB5-6ECF-4E6C-9584-0E996F823863}"/>
    <cellStyle name="Note 3 6" xfId="10830" xr:uid="{EDE34AE3-6053-4701-8E7D-25D1FDFD8ACC}"/>
    <cellStyle name="Note 3 7" xfId="10923" xr:uid="{19934143-1EDC-4782-A355-3CC0EB1C82B4}"/>
    <cellStyle name="Note 3 8" xfId="11014" xr:uid="{431632F4-B504-405B-9D74-446FCC283817}"/>
    <cellStyle name="Note 3 9" xfId="11064" xr:uid="{4423B5BF-8D39-4E5E-8600-C5C99B78081A}"/>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 - Subtotal 10" xfId="10096" xr:uid="{23C9C31F-C12D-4D06-A12F-AEC6F8A84F1A}"/>
    <cellStyle name="Nr 0 dec - Subtotal 11" xfId="10099" xr:uid="{9930F5C7-EF37-4177-8678-C3DC8F1D9659}"/>
    <cellStyle name="Nr 0 dec - Subtotal 12" xfId="10075" xr:uid="{A0906E39-7106-43A9-BDD2-BE65846C37AB}"/>
    <cellStyle name="Nr 0 dec - Subtotal 13" xfId="10125" xr:uid="{7CEDDD97-5177-423A-BBBD-9F6558DD0644}"/>
    <cellStyle name="Nr 0 dec - Subtotal 14" xfId="10078" xr:uid="{55F304B2-6B7F-4C19-BD6F-BC869ED5C09D}"/>
    <cellStyle name="Nr 0 dec - Subtotal 15" xfId="10080" xr:uid="{1ECC1A0E-A3CB-42C1-916E-C2A795E65E29}"/>
    <cellStyle name="Nr 0 dec - Subtotal 16" xfId="10103" xr:uid="{0060F063-AA4A-4852-B3C1-541A1A4C26A8}"/>
    <cellStyle name="Nr 0 dec - Subtotal 17" xfId="10085" xr:uid="{CDFDD1A8-260C-4C5E-8FD0-FEC51D9EE42F}"/>
    <cellStyle name="Nr 0 dec - Subtotal 18" xfId="10088" xr:uid="{AF0DC343-ABBF-476D-90B7-E09B0462B018}"/>
    <cellStyle name="Nr 0 dec - Subtotal 19" xfId="10108" xr:uid="{622E6406-0B55-4719-B2B1-7A0C0C5F8D31}"/>
    <cellStyle name="Nr 0 dec - Subtotal 2" xfId="10335" xr:uid="{9E98B68F-89C5-443B-8AD5-84E4CE694E22}"/>
    <cellStyle name="Nr 0 dec - Subtotal 20" xfId="10092" xr:uid="{83E10138-4D20-47A4-B763-AE57D28CF80F}"/>
    <cellStyle name="Nr 0 dec - Subtotal 21" xfId="10110" xr:uid="{EEC632C4-7617-4957-BFA8-C8E16487924A}"/>
    <cellStyle name="Nr 0 dec - Subtotal 22" xfId="10094" xr:uid="{90F96947-43D2-4B38-B0CC-FDD5FAAEA73F}"/>
    <cellStyle name="Nr 0 dec - Subtotal 23" xfId="10109" xr:uid="{FEC79A17-D77D-4850-B5A3-A729B49DB3EC}"/>
    <cellStyle name="Nr 0 dec - Subtotal 24" xfId="11378" xr:uid="{FB59D2AD-80FB-406A-8A62-FE24C0637290}"/>
    <cellStyle name="Nr 0 dec - Subtotal 25" xfId="11353" xr:uid="{6DB3CDAF-3A4E-404F-8C8E-E395232D5676}"/>
    <cellStyle name="Nr 0 dec - Subtotal 3" xfId="10065" xr:uid="{08640617-F933-4C7B-8120-3E22AA6B5698}"/>
    <cellStyle name="Nr 0 dec - Subtotal 4" xfId="10337" xr:uid="{BE621A50-E006-410E-9FF7-7F4EB1D92754}"/>
    <cellStyle name="Nr 0 dec - Subtotal 5" xfId="10066" xr:uid="{6658D09C-0441-49B1-8DFD-CB38FD974F19}"/>
    <cellStyle name="Nr 0 dec - Subtotal 6" xfId="10068" xr:uid="{69D3E756-6EF6-471E-AF3E-66C9190D0A3A}"/>
    <cellStyle name="Nr 0 dec - Subtotal 7" xfId="10104" xr:uid="{A141C5C8-BE46-4FFB-B5D5-E97CB7A452B9}"/>
    <cellStyle name="Nr 0 dec - Subtotal 8" xfId="10101" xr:uid="{A49ABEA6-7B5F-4371-AFE1-B954EF9ABC4C}"/>
    <cellStyle name="Nr 0 dec - Subtotal 9" xfId="10072" xr:uid="{1D1EF3D4-8B26-4661-AC80-9894A03E6663}"/>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10 10" xfId="11021" xr:uid="{38103BD6-05A1-4B49-B2F6-F4DA75F565A7}"/>
    <cellStyle name="Output 2 10 11" xfId="10704" xr:uid="{1CDF6383-9F10-4914-B22A-645048EA93D3}"/>
    <cellStyle name="Output 2 10 12" xfId="11092" xr:uid="{812CE336-73DC-4407-BF61-E316F4037E2C}"/>
    <cellStyle name="Output 2 10 13" xfId="10715" xr:uid="{6C4923C1-02C2-43D1-A613-7472487F36A0}"/>
    <cellStyle name="Output 2 10 14" xfId="11143" xr:uid="{CB2FBC0D-D168-4646-8360-0B6485880B5B}"/>
    <cellStyle name="Output 2 10 15" xfId="11191" xr:uid="{92FD0B7F-F9C4-4F80-BB63-87209DAD2877}"/>
    <cellStyle name="Output 2 10 16" xfId="11221" xr:uid="{701FE86A-95F2-432B-A51C-B6F5273B65C9}"/>
    <cellStyle name="Output 2 10 17" xfId="10750" xr:uid="{12A3944B-28CA-4E0F-8DBE-3914F9B709BA}"/>
    <cellStyle name="Output 2 10 18" xfId="11273" xr:uid="{2D065D38-E96F-4453-902F-360DA2278D9A}"/>
    <cellStyle name="Output 2 10 19" xfId="11299" xr:uid="{C7281D1F-EB78-4E9C-B7B7-AF73E1F08885}"/>
    <cellStyle name="Output 2 10 2" xfId="10639" xr:uid="{804F0F5E-9ECA-461C-B52E-29E41AB653C0}"/>
    <cellStyle name="Output 2 10 20" xfId="11428" xr:uid="{AFBF96E0-E1D5-4303-8516-C3ADBDC7972C}"/>
    <cellStyle name="Output 2 10 21" xfId="11450" xr:uid="{22C4C441-8DE3-4DBB-8D31-BDE9C2EC888E}"/>
    <cellStyle name="Output 2 10 22" xfId="11470" xr:uid="{17C52FBE-CB43-41BD-89E0-BBE34E4DDFBE}"/>
    <cellStyle name="Output 2 10 3" xfId="10795" xr:uid="{32314425-47C5-4796-9A86-3746AFEA7F31}"/>
    <cellStyle name="Output 2 10 4" xfId="10837" xr:uid="{C1552011-49F0-4863-BCB8-B55DF1E53877}"/>
    <cellStyle name="Output 2 10 5" xfId="10865" xr:uid="{DC0DFE66-8F0A-4EB4-88B5-2C0492B89D58}"/>
    <cellStyle name="Output 2 10 6" xfId="10666" xr:uid="{4FE28FBA-F65C-4C8A-BD11-4DCB3057DC20}"/>
    <cellStyle name="Output 2 10 7" xfId="10928" xr:uid="{6FBFAE1E-AF0B-4EA4-B4EC-DBB2EA47208B}"/>
    <cellStyle name="Output 2 10 8" xfId="10674" xr:uid="{D2905E1B-F974-4E29-9320-BEDB4DAE2FBA}"/>
    <cellStyle name="Output 2 10 9" xfId="10984" xr:uid="{32F5BAFC-15AE-4DAD-AE4B-BCDF3588D2FD}"/>
    <cellStyle name="Output 2 11" xfId="10741" xr:uid="{8AAFC20E-71D6-4C17-A583-A0E761209A34}"/>
    <cellStyle name="Output 2 12" xfId="10828" xr:uid="{EF6ABE49-0340-45BC-834B-681BAC782B03}"/>
    <cellStyle name="Output 2 13" xfId="10921" xr:uid="{5D5D9231-2090-4442-B287-B86BD35238D8}"/>
    <cellStyle name="Output 2 14" xfId="11012" xr:uid="{BC3D598B-39A5-4EF0-BDBD-FE6FF2144513}"/>
    <cellStyle name="Output 2 15" xfId="11062" xr:uid="{24EAA793-0B1A-47E9-8EF6-DCF0612E20F1}"/>
    <cellStyle name="Output 2 16" xfId="11184" xr:uid="{E4EBE392-66B2-4B73-B714-88E083314C2F}"/>
    <cellStyle name="Output 2 17" xfId="11252" xr:uid="{150F2FD5-B9C3-451A-921D-B251B00226EC}"/>
    <cellStyle name="Output 2 2" xfId="68" xr:uid="{00000000-0005-0000-0000-000013240000}"/>
    <cellStyle name="Output 2 2 10" xfId="11245" xr:uid="{2C43E782-AAA5-40B7-8F0B-1FFA4B89C218}"/>
    <cellStyle name="Output 2 2 2" xfId="88" xr:uid="{00000000-0005-0000-0000-000014240000}"/>
    <cellStyle name="Output 2 2 2 2" xfId="9770" xr:uid="{00000000-0005-0000-0000-000015240000}"/>
    <cellStyle name="Output 2 2 2 2 10" xfId="11041" xr:uid="{17E9F3B1-31DC-4D60-8CCC-972025BAF0C2}"/>
    <cellStyle name="Output 2 2 2 2 11" xfId="11078" xr:uid="{7F0BE969-7923-4B80-9FF3-F6985BFB39DE}"/>
    <cellStyle name="Output 2 2 2 2 12" xfId="11110" xr:uid="{3FE63212-ED1B-4241-9663-AD2CD0966276}"/>
    <cellStyle name="Output 2 2 2 2 13" xfId="11135" xr:uid="{7CD7E51A-826A-42EA-B303-5DF9CEB3A81D}"/>
    <cellStyle name="Output 2 2 2 2 14" xfId="11161" xr:uid="{978FB4AE-7D20-430D-9548-EBAADAF34236}"/>
    <cellStyle name="Output 2 2 2 2 15" xfId="11211" xr:uid="{6D63D948-E9FF-4AD4-8E4F-625E637405A7}"/>
    <cellStyle name="Output 2 2 2 2 16" xfId="11239" xr:uid="{24F800CF-F450-46B0-80B7-D22DD7B6D61E}"/>
    <cellStyle name="Output 2 2 2 2 17" xfId="11266" xr:uid="{E1A450CF-C1C5-4F86-8E17-43E043269E4C}"/>
    <cellStyle name="Output 2 2 2 2 18" xfId="11293" xr:uid="{F34B49DD-AD20-41C1-A8D0-931915A99DAC}"/>
    <cellStyle name="Output 2 2 2 2 19" xfId="11319" xr:uid="{96B372C1-58FA-4FDC-8C5F-85AF08FA6C35}"/>
    <cellStyle name="Output 2 2 2 2 2" xfId="10773" xr:uid="{A597773D-985A-47DC-9B1D-BD4BD44B926D}"/>
    <cellStyle name="Output 2 2 2 2 20" xfId="11446" xr:uid="{222CE7FB-8126-4622-82CA-D9CCEA7CFC67}"/>
    <cellStyle name="Output 2 2 2 2 21" xfId="11464" xr:uid="{97D505C6-2655-47F7-9534-39E953B8F8A1}"/>
    <cellStyle name="Output 2 2 2 2 22" xfId="11490" xr:uid="{2E9C823F-CF81-4F6D-9064-31454988CCFF}"/>
    <cellStyle name="Output 2 2 2 2 3" xfId="10815" xr:uid="{0BF85921-3FB7-4F76-8390-0E0AA68EE2F3}"/>
    <cellStyle name="Output 2 2 2 2 4" xfId="10857" xr:uid="{9D34D622-EB3B-4742-AD55-584911C31360}"/>
    <cellStyle name="Output 2 2 2 2 5" xfId="10885" xr:uid="{95CE9590-AA20-4CBC-AF31-4848183B0B4B}"/>
    <cellStyle name="Output 2 2 2 2 6" xfId="10900" xr:uid="{4047FB83-BFCB-4176-8C58-50E18B00FBCD}"/>
    <cellStyle name="Output 2 2 2 2 7" xfId="10948" xr:uid="{4168343F-C53D-4493-9028-6097CDF90EFE}"/>
    <cellStyle name="Output 2 2 2 2 8" xfId="10977" xr:uid="{1BB71E39-6A8D-4F06-A2CE-49CA1C0F0CFA}"/>
    <cellStyle name="Output 2 2 2 2 9" xfId="11004" xr:uid="{5F286155-4BD1-4387-B732-21276E5FC045}"/>
    <cellStyle name="Output 2 2 2 3" xfId="10723" xr:uid="{1E9206B6-3591-4F6F-86F6-BF196EE1EF56}"/>
    <cellStyle name="Output 2 2 2 4" xfId="10779" xr:uid="{4E49D5CB-0207-46FE-A0F1-82ADD2697F87}"/>
    <cellStyle name="Output 2 2 2 5" xfId="10903" xr:uid="{5F3664A5-6B02-402F-9859-82CBE78AA406}"/>
    <cellStyle name="Output 2 2 2 6" xfId="10959" xr:uid="{A6F8D78E-C89E-44EA-83B2-EF67B39EBB2B}"/>
    <cellStyle name="Output 2 2 2 7" xfId="11044" xr:uid="{F3FA2F06-BA40-48B2-83EB-CBF6711B236D}"/>
    <cellStyle name="Output 2 2 2 8" xfId="11166" xr:uid="{5B82B6F4-B9DB-49E5-9624-5BBC481BEA2E}"/>
    <cellStyle name="Output 2 2 2 9" xfId="11190" xr:uid="{5BE8A231-6E59-47C0-8A19-DECF88061521}"/>
    <cellStyle name="Output 2 2 3" xfId="9756" xr:uid="{00000000-0005-0000-0000-000016240000}"/>
    <cellStyle name="Output 2 2 3 10" xfId="11027" xr:uid="{20CE6498-8BE1-4EBE-A7EB-60840D2D1D11}"/>
    <cellStyle name="Output 2 2 3 11" xfId="10694" xr:uid="{6888E67A-E4FC-4E7B-8EC4-2471371355D6}"/>
    <cellStyle name="Output 2 2 3 12" xfId="11098" xr:uid="{BBB83E67-1B51-4BF3-943C-21E61034EB58}"/>
    <cellStyle name="Output 2 2 3 13" xfId="11121" xr:uid="{20E61C3F-7DC6-4AB6-8FDD-8983C4686C39}"/>
    <cellStyle name="Output 2 2 3 14" xfId="11149" xr:uid="{A9304821-ADE8-4ACB-9ABC-318E0334764A}"/>
    <cellStyle name="Output 2 2 3 15" xfId="11197" xr:uid="{EA8D6838-6B9B-4A21-A5DB-D1BEF184283A}"/>
    <cellStyle name="Output 2 2 3 16" xfId="11227" xr:uid="{42B674DB-712C-4845-9E51-769634423F2D}"/>
    <cellStyle name="Output 2 2 3 17" xfId="11256" xr:uid="{E554715A-3B88-4840-B03C-BFF6032D2AAD}"/>
    <cellStyle name="Output 2 2 3 18" xfId="11279" xr:uid="{E7626EBF-156F-4522-93C2-F9B189273287}"/>
    <cellStyle name="Output 2 2 3 19" xfId="11305" xr:uid="{48A28194-47D0-4AFD-95A2-BDA5D4A4ED78}"/>
    <cellStyle name="Output 2 2 3 2" xfId="10645" xr:uid="{405260C6-E771-4916-932F-F5D367895624}"/>
    <cellStyle name="Output 2 2 3 20" xfId="11434" xr:uid="{0D1B7D3D-5F9F-4797-B232-FBEEBCA722E4}"/>
    <cellStyle name="Output 2 2 3 21" xfId="11454" xr:uid="{57457CF3-45F2-4482-9B29-1690FDF77694}"/>
    <cellStyle name="Output 2 2 3 22" xfId="11476" xr:uid="{D730A56C-F413-4E3F-AB86-FB42DB77C832}"/>
    <cellStyle name="Output 2 2 3 3" xfId="10801" xr:uid="{8F7619FC-E88B-4D76-9DB9-F23EB653B33A}"/>
    <cellStyle name="Output 2 2 3 4" xfId="10843" xr:uid="{053FF559-CB9C-44F7-AA30-A6FBE7776B56}"/>
    <cellStyle name="Output 2 2 3 5" xfId="10871" xr:uid="{522A75E0-0A2A-46E6-9FA8-6AD885CECE6B}"/>
    <cellStyle name="Output 2 2 3 6" xfId="10660" xr:uid="{3DD01DA6-A70E-4E53-8AC9-CDF4F1963002}"/>
    <cellStyle name="Output 2 2 3 7" xfId="10934" xr:uid="{AED1DAB2-1E64-4E47-B21D-A4C54C13FAF2}"/>
    <cellStyle name="Output 2 2 3 8" xfId="10672" xr:uid="{462E1C3E-FB25-4FF6-BDCA-12346493B2B1}"/>
    <cellStyle name="Output 2 2 3 9" xfId="10990" xr:uid="{51D88AD6-C062-4F72-967E-EC7BF7E59088}"/>
    <cellStyle name="Output 2 2 4" xfId="10735" xr:uid="{D8EF8BED-21EF-46D6-A20C-BBA834EB6D87}"/>
    <cellStyle name="Output 2 2 5" xfId="10819" xr:uid="{00770934-0B8D-4A18-9249-BC514C7779D6}"/>
    <cellStyle name="Output 2 2 6" xfId="10915" xr:uid="{73FAF79B-9D89-4CE4-BF53-C2A7DDEF2215}"/>
    <cellStyle name="Output 2 2 7" xfId="11006" xr:uid="{1FDD3B0C-CC88-4A5A-B9AE-294A81DC4FF8}"/>
    <cellStyle name="Output 2 2 8" xfId="11056" xr:uid="{0136298C-6F4F-4CEE-8ED4-3FFC9615C8D2}"/>
    <cellStyle name="Output 2 2 9" xfId="11178" xr:uid="{C16B18C0-8571-45FB-AB60-9245A1CB6B49}"/>
    <cellStyle name="Output 2 3" xfId="82" xr:uid="{00000000-0005-0000-0000-000017240000}"/>
    <cellStyle name="Output 2 3 2" xfId="9764" xr:uid="{00000000-0005-0000-0000-000018240000}"/>
    <cellStyle name="Output 2 3 2 10" xfId="11035" xr:uid="{77A51912-472C-4C57-AE9D-9C2E463F142D}"/>
    <cellStyle name="Output 2 3 2 11" xfId="10697" xr:uid="{3205F639-5E82-46B6-84E7-8DDCDDD8050E}"/>
    <cellStyle name="Output 2 3 2 12" xfId="11104" xr:uid="{960848A6-7B13-4F77-A752-C4E5146659A5}"/>
    <cellStyle name="Output 2 3 2 13" xfId="11129" xr:uid="{1ADC4903-A36E-4964-8B4D-C595988D90B1}"/>
    <cellStyle name="Output 2 3 2 14" xfId="11155" xr:uid="{55BA9ADD-BD08-4D57-AC98-931409ADBF54}"/>
    <cellStyle name="Output 2 3 2 15" xfId="11205" xr:uid="{C672A6BF-3618-452D-B6AD-BCBA291B205B}"/>
    <cellStyle name="Output 2 3 2 16" xfId="11233" xr:uid="{8DF87D83-9709-4314-BB72-E71DB43576E5}"/>
    <cellStyle name="Output 2 3 2 17" xfId="11262" xr:uid="{0D6CAD1A-E808-4168-AB96-35FA40131071}"/>
    <cellStyle name="Output 2 3 2 18" xfId="11287" xr:uid="{4893DE7A-9479-44B3-B80D-5738C2D1DFF9}"/>
    <cellStyle name="Output 2 3 2 19" xfId="11313" xr:uid="{55A0CA1D-E4FE-4A4D-B969-CC9FFF0899E0}"/>
    <cellStyle name="Output 2 3 2 2" xfId="10627" xr:uid="{26663702-4F9A-4C39-A9A2-E4F7F8650958}"/>
    <cellStyle name="Output 2 3 2 20" xfId="11440" xr:uid="{F5E652F6-35BF-408C-B6A6-DA55989339BA}"/>
    <cellStyle name="Output 2 3 2 21" xfId="11460" xr:uid="{B078B591-C795-4CB7-BB42-958A70D42200}"/>
    <cellStyle name="Output 2 3 2 22" xfId="11484" xr:uid="{60300980-10BF-4C64-A9DE-8ACFD6FC83B8}"/>
    <cellStyle name="Output 2 3 2 3" xfId="10809" xr:uid="{1075BB98-8462-46AF-AC8A-C7E128C62927}"/>
    <cellStyle name="Output 2 3 2 4" xfId="10851" xr:uid="{4C503ADF-2D85-41D1-B9E3-55D8E749830E}"/>
    <cellStyle name="Output 2 3 2 5" xfId="10879" xr:uid="{68530959-4701-400D-B76A-59EFA39CF782}"/>
    <cellStyle name="Output 2 3 2 6" xfId="10894" xr:uid="{258343FA-8AA0-4A7E-8331-D512F29FD472}"/>
    <cellStyle name="Output 2 3 2 7" xfId="10942" xr:uid="{D2D2C593-6F17-4F0F-B44E-83B76841F2CF}"/>
    <cellStyle name="Output 2 3 2 8" xfId="10973" xr:uid="{245F6D35-07A4-42A0-BA92-319500127C97}"/>
    <cellStyle name="Output 2 3 2 9" xfId="10998" xr:uid="{852F30B7-B320-495F-93EE-E701938ED203}"/>
    <cellStyle name="Output 2 3 3" xfId="10729" xr:uid="{A50B3379-BD12-4157-AEAF-77C86389FB8D}"/>
    <cellStyle name="Output 2 3 4" xfId="10785" xr:uid="{C5C3FADF-2403-4E8A-8ADC-E8F24B70C178}"/>
    <cellStyle name="Output 2 3 5" xfId="10909" xr:uid="{B0486E6A-86D3-494B-A1A0-E5FEDDB5C896}"/>
    <cellStyle name="Output 2 3 6" xfId="10965" xr:uid="{44477F8D-70E1-42CD-850C-23782313B341}"/>
    <cellStyle name="Output 2 3 7" xfId="11050" xr:uid="{9772EAD9-E720-4CD5-981C-DC6C1D762579}"/>
    <cellStyle name="Output 2 3 8" xfId="11172" xr:uid="{627D6D52-DE1F-493A-8664-35F6FD53BABF}"/>
    <cellStyle name="Output 2 3 9" xfId="11210" xr:uid="{B37719F6-2615-4F8C-908D-5038C60ECEBA}"/>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1] 10" xfId="10069" xr:uid="{471C9A9B-61C7-4258-98DA-B561813E7645}"/>
    <cellStyle name="Percent [1] 11" xfId="10071" xr:uid="{A4D38793-5AF0-4AF9-9652-00FBC6A2920F}"/>
    <cellStyle name="Percent [1] 12" xfId="10073" xr:uid="{AEF300D4-DC81-400A-A6D2-CE2A283CC5DE}"/>
    <cellStyle name="Percent [1] 13" xfId="10074" xr:uid="{EEADB07D-647C-4052-8DC6-1A8E62C7EBDB}"/>
    <cellStyle name="Percent [1] 14" xfId="10077" xr:uid="{D04E1B2B-1E63-47FB-934A-DB2C11B691C7}"/>
    <cellStyle name="Percent [1] 15" xfId="10076" xr:uid="{AA6B859C-D522-4492-BBD8-2F312612527D}"/>
    <cellStyle name="Percent [1] 16" xfId="10082" xr:uid="{6CFA3C8A-F8E3-4FDB-BFDE-2E7C1510D271}"/>
    <cellStyle name="Percent [1] 17" xfId="10083" xr:uid="{974F502C-D26A-476D-BE6B-BFC88726905A}"/>
    <cellStyle name="Percent [1] 18" xfId="10087" xr:uid="{DF32C59F-DDCE-4E9A-922B-595D1FA85702}"/>
    <cellStyle name="Percent [1] 19" xfId="10089" xr:uid="{F6601A91-36FC-4A32-888E-FAB16F557A83}"/>
    <cellStyle name="Percent [1] 2" xfId="10340" xr:uid="{8CA7A685-B968-44AA-B283-01EE90F2391C}"/>
    <cellStyle name="Percent [1] 20" xfId="10084" xr:uid="{B930790C-1895-452A-99CB-CCF29F0AD7D0}"/>
    <cellStyle name="Percent [1] 21" xfId="10090" xr:uid="{8495F627-9E87-43EF-888B-44697765D977}"/>
    <cellStyle name="Percent [1] 22" xfId="11338" xr:uid="{9EA47699-29F5-410B-825F-C57DE1317390}"/>
    <cellStyle name="Percent [1] 23" xfId="11352" xr:uid="{26A0787B-333D-4B41-9399-FE175751A2F6}"/>
    <cellStyle name="Percent [1] 3" xfId="10062" xr:uid="{D2410783-4494-4E2E-AEDC-B9C2F3931BFB}"/>
    <cellStyle name="Percent [1] 4" xfId="9952" xr:uid="{D073B5C8-9929-47F0-9943-6B80C4E9588B}"/>
    <cellStyle name="Percent [1] 5" xfId="10061" xr:uid="{C5D57013-7132-479E-9593-8AC0D26CE71D}"/>
    <cellStyle name="Percent [1] 6" xfId="10064" xr:uid="{79DAD841-DAD7-45B5-818B-C12946CC61F9}"/>
    <cellStyle name="Percent [1] 7" xfId="10063" xr:uid="{57BDB827-4F8E-4834-A621-1DE6CC246CA0}"/>
    <cellStyle name="Percent [1] 8" xfId="10070" xr:uid="{C562B277-A83F-4CE1-89B9-F3D217786882}"/>
    <cellStyle name="Percent [1] 9" xfId="10067" xr:uid="{B58A585C-2C6C-47CF-AC90-A7921B1654CE}"/>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ectionHeading 10" xfId="9942" xr:uid="{983FF1E7-E526-4BAF-B531-D190D5AE1974}"/>
    <cellStyle name="SectionHeading 11" xfId="10053" xr:uid="{D6232527-38A3-4DC3-97D9-FFEC309EA166}"/>
    <cellStyle name="SectionHeading 12" xfId="9943" xr:uid="{A344B06A-EFC7-4A12-8387-FB1568D70216}"/>
    <cellStyle name="SectionHeading 13" xfId="10054" xr:uid="{991617AB-9457-4CAB-B618-1E057B4330D2}"/>
    <cellStyle name="SectionHeading 14" xfId="10055" xr:uid="{64E37A99-9474-4084-8616-04CD3A260B0B}"/>
    <cellStyle name="SectionHeading 15" xfId="9945" xr:uid="{FB789E8A-9FCC-4A17-99FE-ECAD6FCACFBD}"/>
    <cellStyle name="SectionHeading 16" xfId="10057" xr:uid="{F5593AB8-3A27-4F0E-B435-27419192F5EC}"/>
    <cellStyle name="SectionHeading 17" xfId="10058" xr:uid="{5113AC10-6E8E-40C0-A68B-E46E7E87C571}"/>
    <cellStyle name="SectionHeading 18" xfId="9947" xr:uid="{298626C3-9B08-4E05-A549-C13F4DC3F5E9}"/>
    <cellStyle name="SectionHeading 19" xfId="9948" xr:uid="{145BE13F-C15C-4355-B0AC-9E451AF10504}"/>
    <cellStyle name="SectionHeading 2" xfId="10358" xr:uid="{0D18F9B4-C6F9-444E-ABAD-396C8C65919C}"/>
    <cellStyle name="SectionHeading 20" xfId="10060" xr:uid="{126FE609-1131-4868-AA4D-C6CDA8EC04D0}"/>
    <cellStyle name="SectionHeading 21" xfId="9949" xr:uid="{DB1C0D2A-045C-49CB-84F7-19829CBC2A06}"/>
    <cellStyle name="SectionHeading 22" xfId="11337" xr:uid="{3019FD43-8DEC-4131-B71A-46735FA233F5}"/>
    <cellStyle name="SectionHeading 23" xfId="11351" xr:uid="{008B1314-31CF-4926-8294-CD61E3CEDF8C}"/>
    <cellStyle name="SectionHeading 3" xfId="10048" xr:uid="{9E5D20C6-671F-4E89-BF0C-A71224035907}"/>
    <cellStyle name="SectionHeading 4" xfId="9939" xr:uid="{3A3DB78D-B31A-4FF8-A430-5CDB825AD609}"/>
    <cellStyle name="SectionHeading 5" xfId="10047" xr:uid="{B1A385DE-E664-42C4-BB04-231319ED887A}"/>
    <cellStyle name="SectionHeading 6" xfId="10049" xr:uid="{5200A5D8-8DC7-41D7-AFA2-99F17A55484A}"/>
    <cellStyle name="SectionHeading 7" xfId="9940" xr:uid="{7B8853C6-D08E-464A-A5DB-3690443772EF}"/>
    <cellStyle name="SectionHeading 8" xfId="10051" xr:uid="{A22F82FE-E246-4E2A-90C4-253AD3E8501B}"/>
    <cellStyle name="SectionHeading 9" xfId="9941" xr:uid="{033488C8-2976-4DCB-A29E-B73C349D7D21}"/>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sp  2" xfId="10050" xr:uid="{C6F056FD-1D02-4D55-B315-D8B478B7EFC9}"/>
    <cellStyle name="ssp  3" xfId="10052" xr:uid="{0961E756-450C-4303-880B-1CF16105B725}"/>
    <cellStyle name="ssp  4" xfId="9944" xr:uid="{26DA21E5-A3B8-4FCB-B142-601B6E702450}"/>
    <cellStyle name="ssp  5" xfId="9946" xr:uid="{1ABC26DD-D52C-42AD-AC56-F99532E630BF}"/>
    <cellStyle name="ssp  6" xfId="10056" xr:uid="{FC34E26F-3A57-419A-B77A-5B4A8C6C06E3}"/>
    <cellStyle name="ssp  7" xfId="10059" xr:uid="{5645DD02-5396-483B-BFA6-AA90702810B2}"/>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10" xfId="9892" xr:uid="{7242B037-101D-4959-82A2-36D236D27A90}"/>
    <cellStyle name="Style 21 11" xfId="9899" xr:uid="{418064C4-926C-4CA0-A03B-C2B1EC3C81C7}"/>
    <cellStyle name="Style 21 12" xfId="10006" xr:uid="{D1232B8C-0A6C-4754-BBF9-ECE7C6E955C9}"/>
    <cellStyle name="Style 21 13" xfId="9906" xr:uid="{D50E5856-343A-445F-8D0F-424D1DC0A2AF}"/>
    <cellStyle name="Style 21 14" xfId="10016" xr:uid="{0CD9C237-84F9-45FB-8A4F-A5505A229DC2}"/>
    <cellStyle name="Style 21 15" xfId="10022" xr:uid="{BCB5720C-E080-45DA-AFD7-D2A1486495FA}"/>
    <cellStyle name="Style 21 16" xfId="9914" xr:uid="{AC458A6C-BC78-4B12-9E1B-9611E6D03472}"/>
    <cellStyle name="Style 21 17" xfId="10030" xr:uid="{23148689-0F26-44FA-9041-CF013EDC9EA5}"/>
    <cellStyle name="Style 21 18" xfId="10038" xr:uid="{E8231A0C-92A8-466A-AA16-AE13A5A42F37}"/>
    <cellStyle name="Style 21 19" xfId="9922" xr:uid="{A4206E22-6E7D-47C5-8700-2823A9DE2DD1}"/>
    <cellStyle name="Style 21 2" xfId="4932" xr:uid="{00000000-0005-0000-0000-000062250000}"/>
    <cellStyle name="Style 21 20" xfId="9931" xr:uid="{C11C7822-0183-4FEC-8FFD-B056728A742F}"/>
    <cellStyle name="Style 21 21" xfId="10046" xr:uid="{80110E04-B3C1-447B-822A-BA9286A6DB1C}"/>
    <cellStyle name="Style 21 22" xfId="9938" xr:uid="{4CD225C2-7FA2-4B81-A0A4-09B0099184AC}"/>
    <cellStyle name="Style 21 23" xfId="11336" xr:uid="{80E24629-D6BB-4308-9FAF-A291E00270D9}"/>
    <cellStyle name="Style 21 24" xfId="11350" xr:uid="{4CD9054C-1357-4F6A-9162-223CD5C2515E}"/>
    <cellStyle name="Style 21 3" xfId="10376" xr:uid="{D8812C41-0465-4482-B8B7-90D4FCD3E5FE}"/>
    <cellStyle name="Style 21 4" xfId="9985" xr:uid="{48A04C6A-1ABA-4F4C-8F48-1C8F6774A1B9}"/>
    <cellStyle name="Style 21 5" xfId="9874" xr:uid="{D06F61FB-BB8D-455F-A1E5-DE68322A7E92}"/>
    <cellStyle name="Style 21 6" xfId="9979" xr:uid="{7949891E-4232-4952-A4A7-87B82CF18F69}"/>
    <cellStyle name="Style 21 7" xfId="9990" xr:uid="{2F4ADAA5-8E6E-499D-B39F-2C191EFC0395}"/>
    <cellStyle name="Style 21 8" xfId="9882" xr:uid="{1643A6A7-75A3-4220-8EE5-A572B07255CF}"/>
    <cellStyle name="Style 21 9" xfId="9998" xr:uid="{C19839CC-429F-496F-B012-F835126EFD18}"/>
    <cellStyle name="Style 22" xfId="4933" xr:uid="{00000000-0005-0000-0000-000063250000}"/>
    <cellStyle name="Style 22 10" xfId="9881" xr:uid="{DA9D1E5C-1585-4EEC-A5EB-2D3D9B7F8AE0}"/>
    <cellStyle name="Style 22 11" xfId="9997" xr:uid="{D30BA04C-8DEF-4623-94E5-54FFABEC0098}"/>
    <cellStyle name="Style 22 12" xfId="9890" xr:uid="{69A05602-5DAC-4D71-B5F6-665D892B8E2A}"/>
    <cellStyle name="Style 22 13" xfId="9897" xr:uid="{DBA32E1C-366E-40B3-8E13-BE07974740DD}"/>
    <cellStyle name="Style 22 14" xfId="10005" xr:uid="{D6D4FD20-805D-42D7-9F10-33BB8AD5F479}"/>
    <cellStyle name="Style 22 15" xfId="9905" xr:uid="{E805B95C-EFEB-4C3E-84AD-CF61777AEB15}"/>
    <cellStyle name="Style 22 16" xfId="10014" xr:uid="{4344AC86-5F5D-4278-8EB4-062F8A4B42AA}"/>
    <cellStyle name="Style 22 17" xfId="10021" xr:uid="{676318CA-04C3-4DA3-A4BA-08B5554454FB}"/>
    <cellStyle name="Style 22 18" xfId="9913" xr:uid="{F5EDC803-A46C-4329-8F77-5456EE1D3626}"/>
    <cellStyle name="Style 22 19" xfId="10029" xr:uid="{C070010C-64D5-44D9-8755-A244780D2738}"/>
    <cellStyle name="Style 22 2" xfId="4934" xr:uid="{00000000-0005-0000-0000-000064250000}"/>
    <cellStyle name="Style 22 2 10" xfId="9896" xr:uid="{4BD1A56F-4118-4A7B-9F48-4301CA4BBABC}"/>
    <cellStyle name="Style 22 2 11" xfId="10004" xr:uid="{47BB5C8F-396A-4603-93C4-FB53FC35A98A}"/>
    <cellStyle name="Style 22 2 12" xfId="9904" xr:uid="{701570F8-C7EF-4429-A28B-51DCB56DD323}"/>
    <cellStyle name="Style 22 2 13" xfId="10013" xr:uid="{55370AC0-FD0D-4CDD-AF3E-9557C6E0E44D}"/>
    <cellStyle name="Style 22 2 14" xfId="10020" xr:uid="{4708F38F-30B9-48CD-9301-08B057B2466C}"/>
    <cellStyle name="Style 22 2 15" xfId="9912" xr:uid="{5ED53E44-F090-4113-BF5B-0DCCAC708A1F}"/>
    <cellStyle name="Style 22 2 16" xfId="10028" xr:uid="{5C994871-7DF0-4BF7-ACF9-9BD4E7403D1F}"/>
    <cellStyle name="Style 22 2 17" xfId="10036" xr:uid="{9C7374E8-30FA-4EC2-87F1-48F57CF68F16}"/>
    <cellStyle name="Style 22 2 18" xfId="9920" xr:uid="{964319AC-EE62-4249-9931-3E70DBF47D6E}"/>
    <cellStyle name="Style 22 2 19" xfId="9928" xr:uid="{9C5F0996-AF5F-4E5A-9F06-31CC0E999298}"/>
    <cellStyle name="Style 22 2 2" xfId="10378" xr:uid="{27393C7D-059F-4F25-BCD6-1653833EA580}"/>
    <cellStyle name="Style 22 2 20" xfId="10044" xr:uid="{711B5808-5B43-4522-B8B2-1A54162F2D50}"/>
    <cellStyle name="Style 22 2 21" xfId="9936" xr:uid="{59C93B49-0DA0-4EAD-A68E-3A9884412BC5}"/>
    <cellStyle name="Style 22 2 22" xfId="11334" xr:uid="{9F9131B8-B9EB-4BAE-8495-51A7A0A3F9D3}"/>
    <cellStyle name="Style 22 2 23" xfId="11348" xr:uid="{B78FF5A5-2C7B-4C0A-90C4-1BF319B75013}"/>
    <cellStyle name="Style 22 2 3" xfId="9983" xr:uid="{47AFEF04-07E7-44E5-99C1-B3864A8FD1D5}"/>
    <cellStyle name="Style 22 2 4" xfId="9872" xr:uid="{E27526AC-62A9-4119-A5C5-7A854FCC87B8}"/>
    <cellStyle name="Style 22 2 5" xfId="9974" xr:uid="{1B10EA38-1AC5-48AF-A829-7CF190EDAEEE}"/>
    <cellStyle name="Style 22 2 6" xfId="9988" xr:uid="{C7AF090D-CC22-4AB7-A3D2-425071F0EBAD}"/>
    <cellStyle name="Style 22 2 7" xfId="9880" xr:uid="{BA225DC7-ADD5-4481-B534-7A0985D1B2A0}"/>
    <cellStyle name="Style 22 2 8" xfId="9996" xr:uid="{575654AB-9780-411D-B6B2-A88BD450AB2B}"/>
    <cellStyle name="Style 22 2 9" xfId="9889" xr:uid="{21AD44E7-BDB4-4C0D-8D95-2486D318F320}"/>
    <cellStyle name="Style 22 20" xfId="10037" xr:uid="{8EB694A8-0237-4150-8BFB-7F99BE424A83}"/>
    <cellStyle name="Style 22 21" xfId="9921" xr:uid="{E8B81A6B-D22D-4678-944F-FB217A4FA23C}"/>
    <cellStyle name="Style 22 22" xfId="9929" xr:uid="{B6749CCA-B75F-4AC7-A382-42A79BB42DDF}"/>
    <cellStyle name="Style 22 23" xfId="10045" xr:uid="{B9027F43-9E62-421B-B2A2-9F15C6BC5AF4}"/>
    <cellStyle name="Style 22 24" xfId="9937" xr:uid="{9F07307B-9EF2-4BC9-8BB2-EEF44236C7C2}"/>
    <cellStyle name="Style 22 25" xfId="11335" xr:uid="{95D2AE52-04CB-4B46-B21E-0F51F8960599}"/>
    <cellStyle name="Style 22 26" xfId="11349" xr:uid="{0B1B63E0-F969-4D4A-8547-4DBDA04495EB}"/>
    <cellStyle name="Style 22 3" xfId="4935" xr:uid="{00000000-0005-0000-0000-000065250000}"/>
    <cellStyle name="Style 22 3 10" xfId="9895" xr:uid="{BCEB3B9F-5B1C-4868-81DB-697E2758D2DC}"/>
    <cellStyle name="Style 22 3 11" xfId="10003" xr:uid="{1C52766D-373E-4D94-914E-E8CA3FC276CB}"/>
    <cellStyle name="Style 22 3 12" xfId="9903" xr:uid="{0EEF4168-E7AC-4F98-9B4D-5B29C60501CB}"/>
    <cellStyle name="Style 22 3 13" xfId="10012" xr:uid="{FB775367-BD07-4C11-9F2F-A684240DF03E}"/>
    <cellStyle name="Style 22 3 14" xfId="10019" xr:uid="{BC570F3F-9EAE-4419-A35F-5457CA857D89}"/>
    <cellStyle name="Style 22 3 15" xfId="9911" xr:uid="{DE7B3BD6-79FC-419D-A9C8-DDB6F2BE4E22}"/>
    <cellStyle name="Style 22 3 16" xfId="10027" xr:uid="{8F753A9C-2BB7-4B61-B715-ADF738EC6460}"/>
    <cellStyle name="Style 22 3 17" xfId="10035" xr:uid="{937A927A-E186-4ED7-8183-20F13618355A}"/>
    <cellStyle name="Style 22 3 18" xfId="9919" xr:uid="{11374F98-C9F2-4EC3-8A2B-714E46772EC3}"/>
    <cellStyle name="Style 22 3 19" xfId="9927" xr:uid="{68AEB248-F064-40CE-84E8-CEFC10310E84}"/>
    <cellStyle name="Style 22 3 2" xfId="10379" xr:uid="{A5633B3C-9186-4FE8-9EEA-A9AD9A6285F1}"/>
    <cellStyle name="Style 22 3 20" xfId="10043" xr:uid="{C34A05B7-5339-4630-995A-578953EDB7F6}"/>
    <cellStyle name="Style 22 3 21" xfId="9935" xr:uid="{A28CDF29-DFA2-4B3B-8BD4-600DD9FDA55F}"/>
    <cellStyle name="Style 22 3 22" xfId="11333" xr:uid="{2D11B1E6-AB46-494E-9FD3-4E2834250C0B}"/>
    <cellStyle name="Style 22 3 23" xfId="11347" xr:uid="{22B23EBB-8979-4BFD-9B69-F0B57CB9E421}"/>
    <cellStyle name="Style 22 3 3" xfId="9982" xr:uid="{390C0AD0-92B4-4CB5-857B-853F787BB568}"/>
    <cellStyle name="Style 22 3 4" xfId="9871" xr:uid="{ACD207B6-DEC4-4222-B631-C0A00838E2BB}"/>
    <cellStyle name="Style 22 3 5" xfId="9972" xr:uid="{B53A3C90-35AA-46A3-9567-262F1AA78FF0}"/>
    <cellStyle name="Style 22 3 6" xfId="9987" xr:uid="{B1E11315-6328-4655-9881-4DDDD9D54B83}"/>
    <cellStyle name="Style 22 3 7" xfId="9879" xr:uid="{FE9546E0-2EE9-4E3D-AA81-6D02A460608A}"/>
    <cellStyle name="Style 22 3 8" xfId="9995" xr:uid="{7A91C2B3-E236-49C0-9578-A3E47BFA4502}"/>
    <cellStyle name="Style 22 3 9" xfId="9888" xr:uid="{C5824CD4-0E79-4F7D-A344-71F77C51D7ED}"/>
    <cellStyle name="Style 22 4" xfId="4936" xr:uid="{00000000-0005-0000-0000-000066250000}"/>
    <cellStyle name="Style 22 5" xfId="10377" xr:uid="{9001435A-830D-4FD7-9E23-AC077237895F}"/>
    <cellStyle name="Style 22 6" xfId="9984" xr:uid="{FD749C9F-3E3E-4CC1-9FA5-8523FF543071}"/>
    <cellStyle name="Style 22 7" xfId="9873" xr:uid="{2C2E1D57-40A8-4E75-9604-DFF0728B3F0F}"/>
    <cellStyle name="Style 22 8" xfId="9977" xr:uid="{B3D856D4-E775-4640-B969-D251E006F9FE}"/>
    <cellStyle name="Style 22 9" xfId="9989" xr:uid="{E7EE161E-B0A9-43E9-9FB5-C8F6033A97A3}"/>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2 10" xfId="10859" xr:uid="{FCBAA1EC-ADF2-484B-9AD2-9FEF6A31074F}"/>
    <cellStyle name="Style 23 2 2 2 11" xfId="10887" xr:uid="{6FDFBD50-FAB6-449E-96C1-7C2E64E2933E}"/>
    <cellStyle name="Style 23 2 2 2 12" xfId="10889" xr:uid="{D2CA682A-81BE-4335-852F-CADEF785A05E}"/>
    <cellStyle name="Style 23 2 2 2 13" xfId="10891" xr:uid="{3249AE2F-003A-4B77-BEA2-DD8DCDEB0E9C}"/>
    <cellStyle name="Style 23 2 2 2 14" xfId="10950" xr:uid="{570D1223-C55C-4C3F-B79B-768CAC1B989F}"/>
    <cellStyle name="Style 23 2 2 2 15" xfId="10954" xr:uid="{CDC47283-FCEE-4A10-9457-46095A32235D}"/>
    <cellStyle name="Style 23 2 2 2 16" xfId="11067" xr:uid="{9DE985EC-89A7-4DAD-9FB2-931C7A07189A}"/>
    <cellStyle name="Style 23 2 2 2 17" xfId="11086" xr:uid="{A279D0FE-B6AC-4F53-A903-D82F7CAFE858}"/>
    <cellStyle name="Style 23 2 2 2 18" xfId="11114" xr:uid="{7897C072-49E9-4A2D-9218-7EC50BB68DB3}"/>
    <cellStyle name="Style 23 2 2 2 19" xfId="11137" xr:uid="{A2C2C765-054B-4953-BC09-62634114490F}"/>
    <cellStyle name="Style 23 2 2 2 2" xfId="9795" xr:uid="{5B148CE8-442D-419E-B52F-F17FAD83E5CC}"/>
    <cellStyle name="Style 23 2 2 2 20" xfId="11163" xr:uid="{79BCD2FA-A509-44AF-9017-8F13B005E97D}"/>
    <cellStyle name="Style 23 2 2 2 21" xfId="11243" xr:uid="{11FE1C0F-2B62-4615-A244-9A5886E0EE13}"/>
    <cellStyle name="Style 23 2 2 2 22" xfId="11424" xr:uid="{790FB645-094D-4FBA-95BD-46DCA83DDDD2}"/>
    <cellStyle name="Style 23 2 2 2 23" xfId="11426" xr:uid="{D4223455-6A9B-41B7-85F6-5070D21CF8B3}"/>
    <cellStyle name="Style 23 2 2 2 3" xfId="10716" xr:uid="{36045A86-6DDB-4CFA-AD19-334B637A4B6E}"/>
    <cellStyle name="Style 23 2 2 2 4" xfId="10742" xr:uid="{416FFE9D-F0D5-472B-BA26-99EA030BE2C5}"/>
    <cellStyle name="Style 23 2 2 2 5" xfId="10755" xr:uid="{F20C1D43-FD6C-46C0-9D1D-385205B28002}"/>
    <cellStyle name="Style 23 2 2 2 6" xfId="10757" xr:uid="{1491253A-0F51-4530-9D32-63E85C00782B}"/>
    <cellStyle name="Style 23 2 2 2 7" xfId="10761" xr:uid="{17610AAD-3903-49F0-80A0-FED208F2A58B}"/>
    <cellStyle name="Style 23 2 2 2 8" xfId="10777" xr:uid="{5F6D5516-B571-4D68-AEEA-394283799882}"/>
    <cellStyle name="Style 23 2 2 2 9" xfId="10817" xr:uid="{902C6199-EFF4-4943-A293-27A573931ED2}"/>
    <cellStyle name="Style 23 2 2 3" xfId="9758" xr:uid="{00000000-0005-0000-0000-00006B250000}"/>
    <cellStyle name="Style 23 2 2 3 10" xfId="10677" xr:uid="{D4FDA27E-B6A9-4832-BE6A-BA9AD689A41A}"/>
    <cellStyle name="Style 23 2 2 3 11" xfId="10992" xr:uid="{90D815FC-2408-4A4C-9871-EA09CDFC3987}"/>
    <cellStyle name="Style 23 2 2 3 12" xfId="11029" xr:uid="{6059A62D-6678-4067-AC62-4EFF528A0B57}"/>
    <cellStyle name="Style 23 2 2 3 13" xfId="11070" xr:uid="{4DBA3AF7-46E0-4687-A2FD-103C97271894}"/>
    <cellStyle name="Style 23 2 2 3 14" xfId="10696" xr:uid="{00F8368C-E529-4461-BBD3-D86D4C5F45E0}"/>
    <cellStyle name="Style 23 2 2 3 15" xfId="11123" xr:uid="{524EEB25-E8BB-4778-A66B-7055295607CF}"/>
    <cellStyle name="Style 23 2 2 3 16" xfId="11199" xr:uid="{FA0BEF2E-BF64-4482-9AA8-C4F92D677090}"/>
    <cellStyle name="Style 23 2 2 3 17" xfId="11258" xr:uid="{F32BB778-BCAF-440F-A6E2-537E04F0BAC6}"/>
    <cellStyle name="Style 23 2 2 3 18" xfId="11281" xr:uid="{C583BF68-EE52-4D8E-9E44-05EB9F0AA928}"/>
    <cellStyle name="Style 23 2 2 3 19" xfId="11307" xr:uid="{F86C1588-81E5-4268-AF6E-48537EE6E198}"/>
    <cellStyle name="Style 23 2 2 3 2" xfId="10770" xr:uid="{022C8579-5F4F-47FF-99E0-75CF1F59852D}"/>
    <cellStyle name="Style 23 2 2 3 20" xfId="11321" xr:uid="{C74AA8EF-DC7F-4947-A3DA-44CFCC64F97B}"/>
    <cellStyle name="Style 23 2 2 3 21" xfId="11456" xr:uid="{9A249CD2-7320-4C45-AF09-AB0B6D610C92}"/>
    <cellStyle name="Style 23 2 2 3 22" xfId="11478" xr:uid="{51579C4C-3CB0-4357-A2DD-48A1BB853936}"/>
    <cellStyle name="Style 23 2 2 3 3" xfId="10647" xr:uid="{7C215613-92D1-4198-9AFA-0FC316571CA5}"/>
    <cellStyle name="Style 23 2 2 3 4" xfId="10803" xr:uid="{24D3AC52-1305-4A0E-902B-7365BBB552E7}"/>
    <cellStyle name="Style 23 2 2 3 5" xfId="10845" xr:uid="{B768878E-C375-4F9E-B913-E5D6DA512004}"/>
    <cellStyle name="Style 23 2 2 3 6" xfId="10873" xr:uid="{E170AAA7-4076-448F-8560-CC84D1E8F5E4}"/>
    <cellStyle name="Style 23 2 2 3 7" xfId="10656" xr:uid="{A5B28627-461F-4515-AFB1-15F111282BB9}"/>
    <cellStyle name="Style 23 2 2 3 8" xfId="10936" xr:uid="{BE2A7BCF-A2F9-4B46-9C87-59E8C64400B8}"/>
    <cellStyle name="Style 23 2 2 3 9" xfId="10956" xr:uid="{2B078DE2-AB13-4509-8F61-738570856FB5}"/>
    <cellStyle name="Style 23 3" xfId="77" xr:uid="{00000000-0005-0000-0000-00006C250000}"/>
    <cellStyle name="Style 23 3 2" xfId="120" xr:uid="{00000000-0005-0000-0000-00006D250000}"/>
    <cellStyle name="Style 23 3 2 10" xfId="10860" xr:uid="{DED3141B-F71F-473D-9B5F-AE7D35D5BE07}"/>
    <cellStyle name="Style 23 3 2 11" xfId="10888" xr:uid="{025490DF-C8FD-4FB6-A7F6-DC8761B24951}"/>
    <cellStyle name="Style 23 3 2 12" xfId="10890" xr:uid="{FA0FA5FF-4AE5-459F-9929-EFA85857BF34}"/>
    <cellStyle name="Style 23 3 2 13" xfId="10892" xr:uid="{AB61432A-02D0-4E52-904C-0A9760DE45D4}"/>
    <cellStyle name="Style 23 3 2 14" xfId="10951" xr:uid="{96F01B1E-C8D4-49AB-903A-A3F1C27F6259}"/>
    <cellStyle name="Style 23 3 2 15" xfId="10955" xr:uid="{0C96B6B6-C97B-4C7A-92A1-B4B489E6EA8D}"/>
    <cellStyle name="Style 23 3 2 16" xfId="11068" xr:uid="{A6562043-D699-4822-A786-384DE4CBE8CE}"/>
    <cellStyle name="Style 23 3 2 17" xfId="11087" xr:uid="{0C0FC295-0719-4E31-9D9B-B4B2D5999032}"/>
    <cellStyle name="Style 23 3 2 18" xfId="11115" xr:uid="{3309695A-C086-4939-8173-E128BEC19E52}"/>
    <cellStyle name="Style 23 3 2 19" xfId="11138" xr:uid="{073C6CA4-91CC-4F59-9BC7-CAC224839973}"/>
    <cellStyle name="Style 23 3 2 2" xfId="9794" xr:uid="{79BBBF71-B42F-475F-A4A1-61B4DD744DBC}"/>
    <cellStyle name="Style 23 3 2 20" xfId="11164" xr:uid="{2A5A0D3A-FCCD-4F03-A056-C3350AC0B75F}"/>
    <cellStyle name="Style 23 3 2 21" xfId="11250" xr:uid="{85D83487-43E9-485E-9589-68CCB7F13222}"/>
    <cellStyle name="Style 23 3 2 22" xfId="11425" xr:uid="{EAE9C387-42DC-49EA-BAC2-1C1E2F0C9481}"/>
    <cellStyle name="Style 23 3 2 23" xfId="11427" xr:uid="{31FC6914-EACF-44CD-9547-996492B8D758}"/>
    <cellStyle name="Style 23 3 2 3" xfId="10717" xr:uid="{C65C2400-9C61-4215-AA03-4158346CAF65}"/>
    <cellStyle name="Style 23 3 2 4" xfId="10743" xr:uid="{4EB25F0F-3F06-4E70-8D5B-DCDCB58A9B11}"/>
    <cellStyle name="Style 23 3 2 5" xfId="10756" xr:uid="{0716FC49-479A-4B94-B797-7DE85A0D03F7}"/>
    <cellStyle name="Style 23 3 2 6" xfId="10758" xr:uid="{F83529F3-4735-46B2-BB66-552D81C83306}"/>
    <cellStyle name="Style 23 3 2 7" xfId="10762" xr:uid="{5CB6B774-889C-4231-AF15-530CE78D10D1}"/>
    <cellStyle name="Style 23 3 2 8" xfId="10790" xr:uid="{15A2AB38-F5D0-4959-BE5E-C75BEE2A90AF}"/>
    <cellStyle name="Style 23 3 2 9" xfId="10824" xr:uid="{8381996A-AC24-4599-8846-20920A7A7AF5}"/>
    <cellStyle name="Style 23 3 3" xfId="9759" xr:uid="{00000000-0005-0000-0000-00006E250000}"/>
    <cellStyle name="Style 23 3 3 10" xfId="10970" xr:uid="{0F61FC45-78F1-4D29-A125-5EA542537A8C}"/>
    <cellStyle name="Style 23 3 3 11" xfId="10993" xr:uid="{E7D89803-7021-4F99-AFE4-37D4ADB4EA92}"/>
    <cellStyle name="Style 23 3 3 12" xfId="11030" xr:uid="{1215F9C9-802E-45F7-8DEB-051DAC7D92FA}"/>
    <cellStyle name="Style 23 3 3 13" xfId="11071" xr:uid="{B00BB89D-EE3F-49FA-B405-40709B49B2A1}"/>
    <cellStyle name="Style 23 3 3 14" xfId="10691" xr:uid="{AAFEEF5B-AF5B-4069-80F4-3DBA5AD470F8}"/>
    <cellStyle name="Style 23 3 3 15" xfId="11124" xr:uid="{4251060E-E5F2-4BC6-AE65-1F71A4517969}"/>
    <cellStyle name="Style 23 3 3 16" xfId="11200" xr:uid="{9864416B-5182-417B-8295-958A71CFA0BB}"/>
    <cellStyle name="Style 23 3 3 17" xfId="11259" xr:uid="{E361ACB5-80E5-484E-B859-C805DECFFCD0}"/>
    <cellStyle name="Style 23 3 3 18" xfId="11282" xr:uid="{EBAB41B6-A835-4B90-BD75-0F23EA634FA7}"/>
    <cellStyle name="Style 23 3 3 19" xfId="11308" xr:uid="{0CF7C480-2387-4686-BCFE-962827033CA0}"/>
    <cellStyle name="Style 23 3 3 2" xfId="10771" xr:uid="{0BB18F1C-1881-4E0A-9573-1862341E0EC3}"/>
    <cellStyle name="Style 23 3 3 20" xfId="11322" xr:uid="{23188828-4211-42B6-9C19-DC72BE89FE64}"/>
    <cellStyle name="Style 23 3 3 21" xfId="11457" xr:uid="{9616844C-A7F3-4F15-B808-6DA40B784B3D}"/>
    <cellStyle name="Style 23 3 3 22" xfId="11479" xr:uid="{ACAEF074-7AC1-454A-8DE8-267CDE754D07}"/>
    <cellStyle name="Style 23 3 3 3" xfId="10628" xr:uid="{7EE61827-1E0C-491F-916E-189262DB08A8}"/>
    <cellStyle name="Style 23 3 3 4" xfId="10804" xr:uid="{3D37F3F3-7222-4354-9714-AAD2930716FC}"/>
    <cellStyle name="Style 23 3 3 5" xfId="10846" xr:uid="{38FF6633-4D30-4876-B2EB-5E06AD17F3A1}"/>
    <cellStyle name="Style 23 3 3 6" xfId="10874" xr:uid="{CBA77803-1D4A-4810-B0DF-980B7019D1D7}"/>
    <cellStyle name="Style 23 3 3 7" xfId="10653" xr:uid="{C8366F01-5AAB-4104-9F3B-F44468A38330}"/>
    <cellStyle name="Style 23 3 3 8" xfId="10937" xr:uid="{E34D97E2-5A26-45CD-91AD-0E23E838590E}"/>
    <cellStyle name="Style 23 3 3 9" xfId="10957" xr:uid="{5BA11519-459E-496C-A592-F4BD3A973045}"/>
    <cellStyle name="Style 24" xfId="4937" xr:uid="{00000000-0005-0000-0000-00006F250000}"/>
    <cellStyle name="Style 24 10" xfId="9878" xr:uid="{3425D11F-077A-4D0D-9028-AF7331FED41F}"/>
    <cellStyle name="Style 24 11" xfId="9994" xr:uid="{3C23784B-71FC-4949-9D39-1EBAA33C247D}"/>
    <cellStyle name="Style 24 12" xfId="9887" xr:uid="{1E9CE034-BCAB-423B-AF7A-65101EB38CF4}"/>
    <cellStyle name="Style 24 13" xfId="9894" xr:uid="{C2ED9326-442F-4CA1-A9B4-FCF3DAEA2054}"/>
    <cellStyle name="Style 24 14" xfId="10002" xr:uid="{7B9ED31E-BD06-4463-A5B9-F2992D0F4397}"/>
    <cellStyle name="Style 24 15" xfId="9902" xr:uid="{47828964-A92A-476A-88E6-A21D1FAC96F9}"/>
    <cellStyle name="Style 24 16" xfId="10011" xr:uid="{077ABAB4-A20C-46CF-B27E-F324D2430C20}"/>
    <cellStyle name="Style 24 17" xfId="10018" xr:uid="{4686C613-A523-4386-846A-DD9BE778FC0E}"/>
    <cellStyle name="Style 24 18" xfId="9910" xr:uid="{60EC99B3-3BEF-49B3-9956-29D75CD1274C}"/>
    <cellStyle name="Style 24 19" xfId="10026" xr:uid="{BD634F97-8E50-49EE-966A-84C3449729A8}"/>
    <cellStyle name="Style 24 2" xfId="4938" xr:uid="{00000000-0005-0000-0000-000070250000}"/>
    <cellStyle name="Style 24 20" xfId="10034" xr:uid="{CFEE4C55-C86F-49FE-8BC9-95AA6D61F2DE}"/>
    <cellStyle name="Style 24 21" xfId="9918" xr:uid="{E6467F31-14DA-42D5-A048-6F3355118615}"/>
    <cellStyle name="Style 24 22" xfId="9926" xr:uid="{082CF061-BBDC-4685-A116-36CA93C3FE97}"/>
    <cellStyle name="Style 24 23" xfId="10042" xr:uid="{361622BD-84E0-4A94-876B-2323C6B8986B}"/>
    <cellStyle name="Style 24 24" xfId="9934" xr:uid="{A0999D03-A0D8-46AA-9DDB-80B18F7D73A3}"/>
    <cellStyle name="Style 24 25" xfId="11332" xr:uid="{B6C594F2-7019-4B0D-AB78-F2E33F83E06D}"/>
    <cellStyle name="Style 24 26" xfId="11346" xr:uid="{7B4AD355-3B02-4292-954D-651E4AD68E9E}"/>
    <cellStyle name="Style 24 3" xfId="4939" xr:uid="{00000000-0005-0000-0000-000071250000}"/>
    <cellStyle name="Style 24 4" xfId="4940" xr:uid="{00000000-0005-0000-0000-000072250000}"/>
    <cellStyle name="Style 24 5" xfId="10380" xr:uid="{BB39641F-8BB6-4092-8AED-4C5D062F560B}"/>
    <cellStyle name="Style 24 6" xfId="9980" xr:uid="{4B9ACE15-DB5E-47D7-8EFA-3885EAD5EE6E}"/>
    <cellStyle name="Style 24 7" xfId="9870" xr:uid="{566E584F-0A80-4213-9B4A-2EE956EF03AA}"/>
    <cellStyle name="Style 24 8" xfId="9971" xr:uid="{9F5D583E-C41C-4328-BCF5-24077892160A}"/>
    <cellStyle name="Style 24 9" xfId="9986" xr:uid="{5DD368E8-C6B5-4860-9EED-EDEC3731A298}"/>
    <cellStyle name="Style 25" xfId="4941" xr:uid="{00000000-0005-0000-0000-000073250000}"/>
    <cellStyle name="Style 25 10" xfId="9993" xr:uid="{C24A2131-C6A0-41F3-A09C-14C0F82C842C}"/>
    <cellStyle name="Style 25 11" xfId="9885" xr:uid="{3CA6C7D4-D3C1-4724-8B00-9C5B5E386703}"/>
    <cellStyle name="Style 25 12" xfId="9893" xr:uid="{57146241-0736-40A9-AA40-F773B10B3DB9}"/>
    <cellStyle name="Style 25 13" xfId="10001" xr:uid="{B4E2B670-7CA8-4607-9E61-8F96A0621C9F}"/>
    <cellStyle name="Style 25 14" xfId="9901" xr:uid="{7DB1643F-A63C-4496-BE85-82D3C0759166}"/>
    <cellStyle name="Style 25 15" xfId="10009" xr:uid="{2732BC7F-C587-412F-BE70-0F051313514A}"/>
    <cellStyle name="Style 25 16" xfId="10017" xr:uid="{868B5D74-E64F-4ECA-991B-DA467D7B4142}"/>
    <cellStyle name="Style 25 17" xfId="9909" xr:uid="{46685FB2-63FC-4AEC-BD67-18460A75B797}"/>
    <cellStyle name="Style 25 18" xfId="10025" xr:uid="{B00C3EB7-0F33-482D-A7F0-FAD56F5126B5}"/>
    <cellStyle name="Style 25 19" xfId="10033" xr:uid="{8C55AF85-A526-4BC7-BCBB-55ECA929DBCC}"/>
    <cellStyle name="Style 25 2" xfId="4942" xr:uid="{00000000-0005-0000-0000-000074250000}"/>
    <cellStyle name="Style 25 2 10" xfId="9891" xr:uid="{99397199-827E-4D58-B31A-560C69D49E1D}"/>
    <cellStyle name="Style 25 2 11" xfId="10000" xr:uid="{AC4AED01-CBCA-4F7E-9E18-EC0F539E404B}"/>
    <cellStyle name="Style 25 2 12" xfId="9900" xr:uid="{9E0F7AFF-99D2-4659-99EC-E7FE217B2960}"/>
    <cellStyle name="Style 25 2 13" xfId="10008" xr:uid="{E3E2D3A2-D446-4BEC-A678-0AA5F95843C8}"/>
    <cellStyle name="Style 25 2 14" xfId="10015" xr:uid="{8DCF3C5C-AF2E-4D53-AF52-8D61A6D2F669}"/>
    <cellStyle name="Style 25 2 15" xfId="9908" xr:uid="{E984CF98-41C6-4539-BB98-77FA16DE98E4}"/>
    <cellStyle name="Style 25 2 16" xfId="10024" xr:uid="{3D69D5BA-0F51-4458-A0A6-08F5B18AE294}"/>
    <cellStyle name="Style 25 2 17" xfId="10032" xr:uid="{A258DED0-6756-44AA-A529-F9DC24805127}"/>
    <cellStyle name="Style 25 2 18" xfId="9916" xr:uid="{D310D97C-8DC0-4355-ACCD-20B42AB444BB}"/>
    <cellStyle name="Style 25 2 19" xfId="9924" xr:uid="{DF2C24A4-6B09-477A-891B-16F5D7844F18}"/>
    <cellStyle name="Style 25 2 2" xfId="10382" xr:uid="{5CA6F40C-ACE9-43A3-A8D4-E5784659E7C8}"/>
    <cellStyle name="Style 25 2 20" xfId="10040" xr:uid="{74ABB01A-2DBD-4F47-A279-AAD8EA7FA90C}"/>
    <cellStyle name="Style 25 2 21" xfId="9932" xr:uid="{EEB080A6-C946-4E52-BFC8-4D9E76525834}"/>
    <cellStyle name="Style 25 2 22" xfId="11330" xr:uid="{CC677999-CADE-4E7D-9B9C-97181FBC5458}"/>
    <cellStyle name="Style 25 2 23" xfId="11344" xr:uid="{E9387396-2B1C-47CC-9FEF-6846589A4C4B}"/>
    <cellStyle name="Style 25 2 3" xfId="9975" xr:uid="{38614DF5-9280-4A35-8EEE-7062F3939635}"/>
    <cellStyle name="Style 25 2 4" xfId="9868" xr:uid="{B8D9EDBF-BE3F-4C74-BB5A-E33D9060A78E}"/>
    <cellStyle name="Style 25 2 5" xfId="9968" xr:uid="{F4F30F93-B4FB-4CA0-A4F4-51A839391331}"/>
    <cellStyle name="Style 25 2 6" xfId="9978" xr:uid="{56BAF4EA-BFE4-4F2E-AD25-04BB9AA03325}"/>
    <cellStyle name="Style 25 2 7" xfId="9876" xr:uid="{440F3D55-DCA8-4B8A-8AE7-601253C3E3F6}"/>
    <cellStyle name="Style 25 2 8" xfId="9992" xr:uid="{B7B282FA-4BEC-423E-A919-E94CF50031AF}"/>
    <cellStyle name="Style 25 2 9" xfId="9884" xr:uid="{1D961BA2-5012-459B-9F8E-2956C0EB273D}"/>
    <cellStyle name="Style 25 20" xfId="9917" xr:uid="{FDFD2408-93DD-441D-8954-5E041F113DBE}"/>
    <cellStyle name="Style 25 21" xfId="9925" xr:uid="{C9B55E49-3422-4F25-9010-2F716A5C4277}"/>
    <cellStyle name="Style 25 22" xfId="10041" xr:uid="{986D9DC5-4B95-47F0-96B1-5423B0FF2BDB}"/>
    <cellStyle name="Style 25 23" xfId="9933" xr:uid="{16361AB5-270D-4AA9-9734-AA9447E80BF0}"/>
    <cellStyle name="Style 25 24" xfId="11331" xr:uid="{8257BB39-1492-4F01-A355-F301BB47FDB9}"/>
    <cellStyle name="Style 25 25" xfId="11345" xr:uid="{98DD7A4B-A6A6-4155-8D54-5124344AD670}"/>
    <cellStyle name="Style 25 3" xfId="4943" xr:uid="{00000000-0005-0000-0000-000075250000}"/>
    <cellStyle name="Style 25 4" xfId="10381" xr:uid="{A30A4C0D-ECC1-4165-92E8-4139E175A25F}"/>
    <cellStyle name="Style 25 5" xfId="9976" xr:uid="{CDEB53A8-4A38-4C67-898A-9CE061851509}"/>
    <cellStyle name="Style 25 6" xfId="9869" xr:uid="{3510ACF5-7EFC-430E-A10D-1B9EB7891D29}"/>
    <cellStyle name="Style 25 7" xfId="9969" xr:uid="{1004CCD6-BE16-4EC9-B9B7-BB37ED0CA01A}"/>
    <cellStyle name="Style 25 8" xfId="9981" xr:uid="{6DECD1C9-254D-46AB-8465-7013A5F18A2A}"/>
    <cellStyle name="Style 25 9" xfId="9877" xr:uid="{B7F2F9D1-62DB-452A-9478-16A1622BA55A}"/>
    <cellStyle name="Style 26" xfId="4944" xr:uid="{00000000-0005-0000-0000-000076250000}"/>
    <cellStyle name="Style 26 10" xfId="9875" xr:uid="{BF6491EA-220E-4FA7-8612-57944E88CC2D}"/>
    <cellStyle name="Style 26 11" xfId="9991" xr:uid="{A166BE0D-F273-4EEF-ABCB-D623DC1D239A}"/>
    <cellStyle name="Style 26 12" xfId="9883" xr:uid="{25294F69-830F-4D63-A8C8-4A665A102972}"/>
    <cellStyle name="Style 26 13" xfId="9886" xr:uid="{A370F180-CD34-4185-B98E-F67D888691D8}"/>
    <cellStyle name="Style 26 14" xfId="9999" xr:uid="{3224E062-F3FE-42D3-95FA-0AAA5A9438DF}"/>
    <cellStyle name="Style 26 15" xfId="9898" xr:uid="{3267BBC2-92DC-421D-A79B-99F09A81D1B6}"/>
    <cellStyle name="Style 26 16" xfId="10007" xr:uid="{CCC50AF1-641A-4D9A-ABC4-AC41C280ACB9}"/>
    <cellStyle name="Style 26 17" xfId="10010" xr:uid="{D38C72C1-7629-4ADE-B746-B6D5CEFA1537}"/>
    <cellStyle name="Style 26 18" xfId="9907" xr:uid="{6405FB1C-A40D-44DF-9D81-02AB4366CF25}"/>
    <cellStyle name="Style 26 19" xfId="10023" xr:uid="{BF892944-865E-44B0-95A5-D45429961906}"/>
    <cellStyle name="Style 26 2" xfId="4945" xr:uid="{00000000-0005-0000-0000-000077250000}"/>
    <cellStyle name="Style 26 20" xfId="10031" xr:uid="{F9CA4446-FF70-43F8-B08F-D46E38E42037}"/>
    <cellStyle name="Style 26 21" xfId="9915" xr:uid="{E0F7210B-2A16-4C7E-87BA-63A3677E3706}"/>
    <cellStyle name="Style 26 22" xfId="9923" xr:uid="{2272CD0E-2BF4-458B-8005-65D157BD577C}"/>
    <cellStyle name="Style 26 23" xfId="10039" xr:uid="{00F46DB1-6239-4957-B595-666EBBA67C88}"/>
    <cellStyle name="Style 26 24" xfId="9930" xr:uid="{A5C84765-AE71-4082-802C-2674C399FFF1}"/>
    <cellStyle name="Style 26 25" xfId="11329" xr:uid="{0E3F1590-6592-474D-9B47-E32E02646F6A}"/>
    <cellStyle name="Style 26 26" xfId="11343" xr:uid="{FD2714B0-2C2A-45DB-A53F-48F85CE32B08}"/>
    <cellStyle name="Style 26 3" xfId="4946" xr:uid="{00000000-0005-0000-0000-000078250000}"/>
    <cellStyle name="Style 26 4" xfId="4947" xr:uid="{00000000-0005-0000-0000-000079250000}"/>
    <cellStyle name="Style 26 5" xfId="10383" xr:uid="{B5A7D01A-0B4F-43B1-B31A-B5B7064F28C4}"/>
    <cellStyle name="Style 26 6" xfId="9973" xr:uid="{6EBDFCA2-8CC1-415E-8B67-326DFC107C63}"/>
    <cellStyle name="Style 26 7" xfId="9867" xr:uid="{517575A3-D77E-44E0-9152-60E4AECADABF}"/>
    <cellStyle name="Style 26 8" xfId="9967" xr:uid="{10E17D77-E701-436F-B6D9-04D7F8338025}"/>
    <cellStyle name="Style 26 9" xfId="9970" xr:uid="{6C29B22D-9D18-4AB6-BF65-26746C01687E}"/>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Aligned 2 2" xfId="10389" xr:uid="{665EABB1-1ADC-4752-86B7-DACA31F08AE5}"/>
    <cellStyle name="Table Head Aligned 2 3" xfId="11398" xr:uid="{CE90626E-82C9-4BEA-A93B-43C5F5E567FC}"/>
    <cellStyle name="Table Head Aligned 3" xfId="9848" xr:uid="{462B0DFC-4FA5-41B5-8CE6-EE81A0372113}"/>
    <cellStyle name="Table Head Aligned 4" xfId="9855" xr:uid="{B2AC111C-CA1E-4583-BAE2-5410985867D4}"/>
    <cellStyle name="Table Head Aligned 5" xfId="9958" xr:uid="{3A73A828-44D8-4E29-85EC-4B5D148B3327}"/>
    <cellStyle name="Table Head Aligned 6" xfId="9862" xr:uid="{5E3AE070-50EB-401C-A85E-FBA862A8ADAA}"/>
    <cellStyle name="Table Head Aligned 7" xfId="9961" xr:uid="{AFA988B3-3699-48DA-AF59-F76F96FF9581}"/>
    <cellStyle name="Table Head Aligned 8" xfId="9865" xr:uid="{46CE3986-2473-4E0B-BFA2-DE1EDB3818E0}"/>
    <cellStyle name="Table Head Blue" xfId="5038" xr:uid="{00000000-0005-0000-0000-0000D5250000}"/>
    <cellStyle name="Table Head Green" xfId="5039" xr:uid="{00000000-0005-0000-0000-0000D6250000}"/>
    <cellStyle name="Table Head Green 2" xfId="6211" xr:uid="{00000000-0005-0000-0000-0000D7250000}"/>
    <cellStyle name="Table Head Green 2 2" xfId="10390" xr:uid="{288D9D01-DD9E-4D3D-B803-579C47D2D018}"/>
    <cellStyle name="Table Head Green 2 3" xfId="11399" xr:uid="{749E985A-E382-495F-A465-D1DA51A286F4}"/>
    <cellStyle name="Table Head Green 3" xfId="9846" xr:uid="{693D42CC-EB9A-4460-BA8E-6E55BCDF105B}"/>
    <cellStyle name="Table Head Green 4" xfId="9853" xr:uid="{BB5A3E2D-F67A-43C7-B92B-F9C608265F31}"/>
    <cellStyle name="Table Head Green 5" xfId="9957" xr:uid="{02C9B366-C9B7-40CF-9A0D-C05CB1B1DCCB}"/>
    <cellStyle name="Table Head Green 6" xfId="9861" xr:uid="{07033D42-A382-45BD-8B04-B39C8EEFCFEE}"/>
    <cellStyle name="Table Head Green 7" xfId="9960" xr:uid="{472A14AA-970B-42BC-AB64-70381A42C6EF}"/>
    <cellStyle name="Table Head Green 8" xfId="9864" xr:uid="{F4903B03-9DDF-487B-B88F-57A1B3EE0CE7}"/>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Border 2" xfId="9805" xr:uid="{A9BA181F-EB56-4DF9-9F40-5B8787B96B35}"/>
    <cellStyle name="TableBorder 3" xfId="9810" xr:uid="{8FF59A40-8192-4BB3-ADB2-1EE2A0264159}"/>
    <cellStyle name="TableBorder 4" xfId="9851" xr:uid="{F1583D58-AF96-421B-A81A-9EA791DA84DA}"/>
    <cellStyle name="TableBorder 5" xfId="9856" xr:uid="{F72BAB37-30BC-404E-9586-58A2DEBB86FC}"/>
    <cellStyle name="TableBorder 6" xfId="9955" xr:uid="{DDE16894-3D4E-42A0-ADA7-657DE55075AD}"/>
    <cellStyle name="TableBorder 7" xfId="9963" xr:uid="{F09EB813-51BB-428B-8F29-9DC5850BC5C2}"/>
    <cellStyle name="TableColumnHeader" xfId="5047" xr:uid="{00000000-0005-0000-0000-0000DF250000}"/>
    <cellStyle name="TableColumnHeader 10" xfId="9809" xr:uid="{E00335AD-144E-49CB-841C-273EE8BE8470}"/>
    <cellStyle name="TableColumnHeader 11" xfId="9847" xr:uid="{7B02DF55-B2AA-44FF-96DB-B59358445EFA}"/>
    <cellStyle name="TableColumnHeader 12" xfId="9951" xr:uid="{B7B84260-1E76-44C6-A2C6-6D06DF30153A}"/>
    <cellStyle name="TableColumnHeader 13" xfId="9854" xr:uid="{A2DCE9FB-6443-40E6-8E86-DC9EFD7602FC}"/>
    <cellStyle name="TableColumnHeader 14" xfId="9956" xr:uid="{0362C231-5A80-4473-99F1-64A2F2D993B4}"/>
    <cellStyle name="TableColumnHeader 15" xfId="9858" xr:uid="{D0871736-5FC8-4C20-ACA7-7D49108C6B7E}"/>
    <cellStyle name="TableColumnHeader 16" xfId="9959" xr:uid="{ABB9EE7B-3BE9-498C-890A-3C4525119932}"/>
    <cellStyle name="TableColumnHeader 17" xfId="9859" xr:uid="{87387518-9D3D-4137-BAF2-98385E168A4C}"/>
    <cellStyle name="TableColumnHeader 18" xfId="9860" xr:uid="{93B44EE9-54F0-46E7-A1E0-81886B2540CB}"/>
    <cellStyle name="TableColumnHeader 19" xfId="9863" xr:uid="{90A9DCA6-51DB-41AC-9746-17B63A31C812}"/>
    <cellStyle name="TableColumnHeader 2" xfId="8566" xr:uid="{00000000-0005-0000-0000-0000E0250000}"/>
    <cellStyle name="TableColumnHeader 2 10" xfId="10280" xr:uid="{4B347B30-A013-4588-B90F-E8DBB6D5E5BC}"/>
    <cellStyle name="TableColumnHeader 2 11" xfId="10282" xr:uid="{FE218B7D-9ADB-48B0-A536-82BBD1471E96}"/>
    <cellStyle name="TableColumnHeader 2 12" xfId="10543" xr:uid="{B8960B93-B2E8-4E27-BEA0-30FEBD5AE801}"/>
    <cellStyle name="TableColumnHeader 2 13" xfId="10284" xr:uid="{AF1BEF17-DB10-473D-B58E-7C45BEB52A6A}"/>
    <cellStyle name="TableColumnHeader 2 14" xfId="10549" xr:uid="{969C330B-A8C1-410F-B001-14E030171A28}"/>
    <cellStyle name="TableColumnHeader 2 15" xfId="10555" xr:uid="{C5DBDF85-11A8-4A7A-BD2E-9040005B4DA0}"/>
    <cellStyle name="TableColumnHeader 2 16" xfId="10293" xr:uid="{A06B229E-A787-40D0-A760-A1A25969991D}"/>
    <cellStyle name="TableColumnHeader 2 17" xfId="10553" xr:uid="{6E394384-9B83-4D67-9EAC-EB361B14366E}"/>
    <cellStyle name="TableColumnHeader 2 18" xfId="10300" xr:uid="{3CD516A6-E00F-4557-AE14-42B61E00F586}"/>
    <cellStyle name="TableColumnHeader 2 19" xfId="10304" xr:uid="{A08495D4-FF91-4972-8B64-827041BA330D}"/>
    <cellStyle name="TableColumnHeader 2 2" xfId="10606" xr:uid="{6377A473-EC5E-4CCA-99B9-426548D0DBC8}"/>
    <cellStyle name="TableColumnHeader 2 20" xfId="10319" xr:uid="{F804AA45-363D-4AD1-82AC-042D9A4D7718}"/>
    <cellStyle name="TableColumnHeader 2 21" xfId="10561" xr:uid="{ED470A00-5726-44A5-838C-91058E4FFFF6}"/>
    <cellStyle name="TableColumnHeader 2 22" xfId="10322" xr:uid="{9B6B0EFD-686A-4BAC-9220-793BD57AACCC}"/>
    <cellStyle name="TableColumnHeader 2 23" xfId="11354" xr:uid="{F8AB6307-8A64-4F24-8E3D-F46B019B1038}"/>
    <cellStyle name="TableColumnHeader 2 24" xfId="11418" xr:uid="{87F2BC71-75BE-4755-8182-2D4743DB7CB2}"/>
    <cellStyle name="TableColumnHeader 2 25" xfId="11417" xr:uid="{93F398F6-960C-46FB-BE2B-2755D42094C2}"/>
    <cellStyle name="TableColumnHeader 2 3" xfId="10536" xr:uid="{384724FA-AAA4-4659-A48E-D87269F2A73C}"/>
    <cellStyle name="TableColumnHeader 2 4" xfId="10260" xr:uid="{460457BA-70CE-4197-B183-710743CB28C1}"/>
    <cellStyle name="TableColumnHeader 2 5" xfId="10534" xr:uid="{B3C73B3C-0970-493B-9480-B6EE85B2C292}"/>
    <cellStyle name="TableColumnHeader 2 6" xfId="10271" xr:uid="{5A844C53-C61F-42FA-9A09-4332A7EAF419}"/>
    <cellStyle name="TableColumnHeader 2 7" xfId="10540" xr:uid="{33E56212-4DCB-4901-B05D-527C9AD62F57}"/>
    <cellStyle name="TableColumnHeader 2 8" xfId="10538" xr:uid="{18C12172-4D6C-46A9-A2C9-713A6935DAE3}"/>
    <cellStyle name="TableColumnHeader 2 9" xfId="10275" xr:uid="{5B098792-1606-4AAE-B6F6-B6528C16ED66}"/>
    <cellStyle name="TableColumnHeader 20" xfId="9964" xr:uid="{ACF43920-63FB-43DC-8A87-5C29DADAFEFB}"/>
    <cellStyle name="TableColumnHeader 21" xfId="9866" xr:uid="{A0E25D30-FC08-4D4B-9EB6-BC5DBC2971BA}"/>
    <cellStyle name="TableColumnHeader 22" xfId="11328" xr:uid="{A03C0B1B-68F5-48EC-B50B-DE2A925E19EF}"/>
    <cellStyle name="TableColumnHeader 23" xfId="11323" xr:uid="{F96F697B-3DA8-4292-9897-DEF968484DEE}"/>
    <cellStyle name="TableColumnHeader 24" xfId="11324" xr:uid="{EA45A92F-A77F-47F5-9F8E-63310BF5B173}"/>
    <cellStyle name="TableColumnHeader 3" xfId="10388" xr:uid="{6FC8AC77-F5B1-4439-8B2C-3FC334BCAEE5}"/>
    <cellStyle name="TableColumnHeader 4" xfId="9802" xr:uid="{CBC97F94-4016-4DCF-992F-38685BFD3265}"/>
    <cellStyle name="TableColumnHeader 5" xfId="9843" xr:uid="{E39CFC79-839E-4736-A0F3-FF1304D66A1B}"/>
    <cellStyle name="TableColumnHeader 6" xfId="9803" xr:uid="{5BFE412A-C490-478D-9C6D-4710073B12D8}"/>
    <cellStyle name="TableColumnHeader 7" xfId="9806" xr:uid="{F2669B56-0599-4138-8727-078BB99E9FC6}"/>
    <cellStyle name="TableColumnHeader 8" xfId="9807" xr:uid="{23FF0E35-C6EA-48A9-B34A-4F18691CF774}"/>
    <cellStyle name="TableColumnHeader 9" xfId="9845" xr:uid="{5072FB5C-305A-4875-B5A5-09385BA7FDC9}"/>
    <cellStyle name="TableHeading" xfId="5048" xr:uid="{00000000-0005-0000-0000-0000E1250000}"/>
    <cellStyle name="TableHeading 2" xfId="9804" xr:uid="{97930B72-CAD8-452F-87F0-F0AE102CE2B3}"/>
    <cellStyle name="TableHeading 3" xfId="9808" xr:uid="{F9FB626C-835C-4012-9BAD-53107D83226C}"/>
    <cellStyle name="TableHeading 4" xfId="9849" xr:uid="{1AAE1E8C-8304-4C87-8DA6-29569E562599}"/>
    <cellStyle name="TableHeading 5" xfId="9852" xr:uid="{B7DFF702-4A92-4B5C-82C5-A5279266D039}"/>
    <cellStyle name="TableHeading 6" xfId="9954" xr:uid="{F0A198CF-5C29-4DEB-BA18-145775A4B7AC}"/>
    <cellStyle name="TableHeading 7" xfId="9962" xr:uid="{C52BB61D-4CB0-449A-8EA0-A59C028EB101}"/>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st a style 2 2" xfId="10391" xr:uid="{8C205927-D920-44F7-B225-0E5283273E9B}"/>
    <cellStyle name="test a style 2 3" xfId="11400" xr:uid="{BE4076BE-FFF5-4D52-A4FD-6C414D80228C}"/>
    <cellStyle name="test a style 3" xfId="9842" xr:uid="{D73EF639-0E3F-4635-85E6-FFACB0830FCB}"/>
    <cellStyle name="test a style 4" xfId="9844" xr:uid="{53E1490B-A6E0-4C72-BAAE-BA86A4E0E787}"/>
    <cellStyle name="test a style 5" xfId="9950" xr:uid="{5B189A68-7C07-4F56-B437-7892CBE32057}"/>
    <cellStyle name="test a style 6" xfId="9850" xr:uid="{B24CDEA2-4B7D-43A4-9A77-1ECE499E783F}"/>
    <cellStyle name="test a style 7" xfId="9953" xr:uid="{07F1922A-43FE-48F4-8CA7-EDB9D1DBB0F9}"/>
    <cellStyle name="test a style 8" xfId="9857" xr:uid="{A521D71D-419C-4222-B708-78ED576353E1}"/>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11 10" xfId="11022" xr:uid="{28EBA8A6-C330-424E-9415-8780B2BFA680}"/>
    <cellStyle name="Total 2 11 11" xfId="10705" xr:uid="{F8E18BA4-F8AA-42F0-A219-00957F6C2DD4}"/>
    <cellStyle name="Total 2 11 12" xfId="11093" xr:uid="{7F9E8E3A-E45A-48A0-A1A5-40758643C31C}"/>
    <cellStyle name="Total 2 11 13" xfId="11116" xr:uid="{F47FE5FF-528D-4DC4-9E73-103CED94D3F6}"/>
    <cellStyle name="Total 2 11 14" xfId="11144" xr:uid="{EB58BB5E-A5FA-4B72-85E2-907BE475C717}"/>
    <cellStyle name="Total 2 11 15" xfId="11192" xr:uid="{9D2D01AF-9785-45D6-935D-0ADA59597BAD}"/>
    <cellStyle name="Total 2 11 16" xfId="11222" xr:uid="{D329621E-CB99-40C9-AFBC-41284E05F1F3}"/>
    <cellStyle name="Total 2 11 17" xfId="10720" xr:uid="{D2E5F2C4-8E28-4A7B-8A30-F22FD411D3D3}"/>
    <cellStyle name="Total 2 11 18" xfId="11274" xr:uid="{DE0A8E68-F884-49B3-A9EA-34E9CC01B55C}"/>
    <cellStyle name="Total 2 11 19" xfId="11300" xr:uid="{DC2959B8-47AC-46E7-A398-626F213B7698}"/>
    <cellStyle name="Total 2 11 2" xfId="10640" xr:uid="{8D018346-60D7-4B7A-94FE-4F9857D260E8}"/>
    <cellStyle name="Total 2 11 20" xfId="11429" xr:uid="{6CF7D656-B59D-4B38-8EB5-6AEB5CA0924F}"/>
    <cellStyle name="Total 2 11 21" xfId="11451" xr:uid="{19192763-34C4-4C7F-BE52-606AC9BDFD45}"/>
    <cellStyle name="Total 2 11 22" xfId="11471" xr:uid="{7444C5A3-5AEE-4A2A-AF17-F22C601CBBE9}"/>
    <cellStyle name="Total 2 11 3" xfId="10796" xr:uid="{58CBDA89-3376-4CF1-B33E-1D997B953C8E}"/>
    <cellStyle name="Total 2 11 4" xfId="10838" xr:uid="{9BC6BD5C-83C5-4C71-A2B5-1A1ABA6323B2}"/>
    <cellStyle name="Total 2 11 5" xfId="10866" xr:uid="{C155C084-620A-4871-A8AF-F4A472154295}"/>
    <cellStyle name="Total 2 11 6" xfId="10667" xr:uid="{C3991DB8-E5DB-4EAD-BC80-F3D19B2854C2}"/>
    <cellStyle name="Total 2 11 7" xfId="10929" xr:uid="{38F65309-54C7-4A85-ADF6-782B1CD0E766}"/>
    <cellStyle name="Total 2 11 8" xfId="10675" xr:uid="{AA07C63B-E755-4360-AFFA-628B1E5783B3}"/>
    <cellStyle name="Total 2 11 9" xfId="10985" xr:uid="{3B7C0DF3-56BD-4278-BA05-102BAA760EF4}"/>
    <cellStyle name="Total 2 12" xfId="10740" xr:uid="{751703FE-8277-451D-85ED-FC6682FDC8C6}"/>
    <cellStyle name="Total 2 13" xfId="10825" xr:uid="{8BC53B83-BDA6-498C-BA74-0DFB44C450AE}"/>
    <cellStyle name="Total 2 14" xfId="10920" xr:uid="{AE6DA8EC-F9D0-4087-875A-8D73BB26D99B}"/>
    <cellStyle name="Total 2 15" xfId="11011" xr:uid="{11D5ED55-93A9-4D64-BE9A-5C3FDAD10C5B}"/>
    <cellStyle name="Total 2 16" xfId="11061" xr:uid="{DC3E3F58-390E-41CF-8742-FE053A57C216}"/>
    <cellStyle name="Total 2 17" xfId="11183" xr:uid="{902DA9CC-C1EA-4091-8D17-97D9E58C2ABD}"/>
    <cellStyle name="Total 2 18" xfId="11251" xr:uid="{9EA3DB8A-E0EE-434E-AEAE-045565C40268}"/>
    <cellStyle name="Total 2 2" xfId="69" xr:uid="{00000000-0005-0000-0000-0000FC250000}"/>
    <cellStyle name="Total 2 2 10" xfId="11244" xr:uid="{A40FDDE8-0BD2-4E26-B85C-A433C346742B}"/>
    <cellStyle name="Total 2 2 2" xfId="89" xr:uid="{00000000-0005-0000-0000-0000FD250000}"/>
    <cellStyle name="Total 2 2 2 2" xfId="9771" xr:uid="{00000000-0005-0000-0000-0000FE250000}"/>
    <cellStyle name="Total 2 2 2 2 10" xfId="11042" xr:uid="{2057CB54-3041-4C20-9D15-2DA5B5EB4F82}"/>
    <cellStyle name="Total 2 2 2 2 11" xfId="11079" xr:uid="{C3AEF0C5-544A-47AA-AFEB-A1AEC9B1DF89}"/>
    <cellStyle name="Total 2 2 2 2 12" xfId="11111" xr:uid="{5AB16C52-8318-400D-85EB-5B85947052B5}"/>
    <cellStyle name="Total 2 2 2 2 13" xfId="11136" xr:uid="{C0E4489D-ED9F-4D4D-B7DD-86042295712D}"/>
    <cellStyle name="Total 2 2 2 2 14" xfId="11162" xr:uid="{CF3CC077-AA06-4C2F-9865-E375A1B8A15C}"/>
    <cellStyle name="Total 2 2 2 2 15" xfId="11212" xr:uid="{026D66FE-7976-416F-9AEC-5CAFCC2DA592}"/>
    <cellStyle name="Total 2 2 2 2 16" xfId="11240" xr:uid="{66117AB8-45A0-4C90-B792-0A34BF1C2BD2}"/>
    <cellStyle name="Total 2 2 2 2 17" xfId="11267" xr:uid="{6E87BFEE-D851-4140-8D5C-972C71A20DE7}"/>
    <cellStyle name="Total 2 2 2 2 18" xfId="11294" xr:uid="{6FF107B8-5004-478A-AFA7-16A4CB4E7A63}"/>
    <cellStyle name="Total 2 2 2 2 19" xfId="11320" xr:uid="{502C40E2-6E8F-4BF8-967E-68C1F742B32E}"/>
    <cellStyle name="Total 2 2 2 2 2" xfId="10774" xr:uid="{38839C95-11D7-45B1-9A4A-D39505452EB7}"/>
    <cellStyle name="Total 2 2 2 2 20" xfId="11447" xr:uid="{4F8A6D59-7AAD-440A-9BD3-10FA035C6373}"/>
    <cellStyle name="Total 2 2 2 2 21" xfId="11465" xr:uid="{32B46CA8-F961-4DB7-A534-D8BEF6C62C56}"/>
    <cellStyle name="Total 2 2 2 2 22" xfId="11491" xr:uid="{C4C98BF5-7DF3-45CD-8604-A87ACF5B8BB5}"/>
    <cellStyle name="Total 2 2 2 2 3" xfId="10816" xr:uid="{0A21F256-46AE-4535-85BE-07C62EEAC975}"/>
    <cellStyle name="Total 2 2 2 2 4" xfId="10858" xr:uid="{AFA90A15-6451-4197-B898-BBE6A8592A60}"/>
    <cellStyle name="Total 2 2 2 2 5" xfId="10886" xr:uid="{67B52BFA-3160-444A-B16E-ABF41F7D934F}"/>
    <cellStyle name="Total 2 2 2 2 6" xfId="10901" xr:uid="{235B40D6-4651-4EC3-914A-4100258F222A}"/>
    <cellStyle name="Total 2 2 2 2 7" xfId="10949" xr:uid="{4126D7CB-E9CC-4B7B-91CC-E23874D5BC6B}"/>
    <cellStyle name="Total 2 2 2 2 8" xfId="10978" xr:uid="{BD782D16-C70E-49FF-BC26-85ACC86B3D17}"/>
    <cellStyle name="Total 2 2 2 2 9" xfId="11005" xr:uid="{3300BF85-017A-4E99-A038-269B6058BF38}"/>
    <cellStyle name="Total 2 2 2 3" xfId="10722" xr:uid="{B2AE06FC-3EFC-4850-A30E-5E76DFF69534}"/>
    <cellStyle name="Total 2 2 2 4" xfId="10778" xr:uid="{4AB409E6-FFC3-4556-BB22-0CA5D6EC2A9F}"/>
    <cellStyle name="Total 2 2 2 5" xfId="10902" xr:uid="{0296F8B6-22B0-4417-A02C-2F9C2465C6CB}"/>
    <cellStyle name="Total 2 2 2 6" xfId="10958" xr:uid="{83A63A6F-6F69-462C-8FB8-B0D13894D018}"/>
    <cellStyle name="Total 2 2 2 7" xfId="11043" xr:uid="{F2EC3E72-D1C6-4FAD-83E2-C7A4108AE367}"/>
    <cellStyle name="Total 2 2 2 8" xfId="11165" xr:uid="{846AF01C-3BFB-4DC1-8F24-E4AF677D34FA}"/>
    <cellStyle name="Total 2 2 2 9" xfId="11189" xr:uid="{3B33CADD-C822-480B-AB04-F0F0BA58E33A}"/>
    <cellStyle name="Total 2 2 3" xfId="9757" xr:uid="{00000000-0005-0000-0000-0000FF250000}"/>
    <cellStyle name="Total 2 2 3 10" xfId="11028" xr:uid="{8C4CDAEB-EBEC-4040-BBEB-0D0F93A3760F}"/>
    <cellStyle name="Total 2 2 3 11" xfId="10695" xr:uid="{24B42AE5-F5EA-4B05-9410-134144C3B3BE}"/>
    <cellStyle name="Total 2 2 3 12" xfId="11099" xr:uid="{4627745E-9623-4189-BBC7-959FE86B3A2E}"/>
    <cellStyle name="Total 2 2 3 13" xfId="11122" xr:uid="{AFDB237F-2509-4A6F-8E2E-B180D912181F}"/>
    <cellStyle name="Total 2 2 3 14" xfId="11150" xr:uid="{19843357-1441-47B8-8B1F-3AE0DAB2F737}"/>
    <cellStyle name="Total 2 2 3 15" xfId="11198" xr:uid="{FC1E4647-64D8-4B35-BA40-4A212513FFC3}"/>
    <cellStyle name="Total 2 2 3 16" xfId="11228" xr:uid="{9869646C-1A42-461E-BA16-B758DB57FF21}"/>
    <cellStyle name="Total 2 2 3 17" xfId="11257" xr:uid="{1F17AB98-BAF8-4F85-B4E9-1C5F43915FDC}"/>
    <cellStyle name="Total 2 2 3 18" xfId="11280" xr:uid="{6AEFC17A-628A-4077-A839-40DF4B49E768}"/>
    <cellStyle name="Total 2 2 3 19" xfId="11306" xr:uid="{D9D9B5DF-A6D1-4BF0-BBF1-A9106E259D67}"/>
    <cellStyle name="Total 2 2 3 2" xfId="10646" xr:uid="{88D188C1-8827-4BD2-918B-01C1F00BC08C}"/>
    <cellStyle name="Total 2 2 3 20" xfId="11435" xr:uid="{E0C9CE2E-DD0E-4978-BF1D-B77D59EEBCC6}"/>
    <cellStyle name="Total 2 2 3 21" xfId="11455" xr:uid="{55838338-DD8B-4620-AEB2-35E2272D8CEB}"/>
    <cellStyle name="Total 2 2 3 22" xfId="11477" xr:uid="{841EC4BA-43E0-4434-A820-04924AC41819}"/>
    <cellStyle name="Total 2 2 3 3" xfId="10802" xr:uid="{49B8DE71-B669-4D35-BFC2-61C1742BFE01}"/>
    <cellStyle name="Total 2 2 3 4" xfId="10844" xr:uid="{29455088-1DC8-4F90-865E-6003DD6B8003}"/>
    <cellStyle name="Total 2 2 3 5" xfId="10872" xr:uid="{FA9383F8-941D-4EEC-8F42-17EE40BF7C96}"/>
    <cellStyle name="Total 2 2 3 6" xfId="10655" xr:uid="{8EEFA87E-2F9F-4DC1-A99E-5A89F84BFBB7}"/>
    <cellStyle name="Total 2 2 3 7" xfId="10935" xr:uid="{C2390C4F-7451-44C3-B78C-3C7F79ADC7B6}"/>
    <cellStyle name="Total 2 2 3 8" xfId="10682" xr:uid="{8E91BFC0-1D0B-4282-ADB6-A41D5A92D69E}"/>
    <cellStyle name="Total 2 2 3 9" xfId="10991" xr:uid="{38E449DA-3AE9-471A-A9B1-16976D98E703}"/>
    <cellStyle name="Total 2 2 4" xfId="10734" xr:uid="{070EB775-0F74-4090-8D96-A60EC434E989}"/>
    <cellStyle name="Total 2 2 5" xfId="10818" xr:uid="{E414D675-32D4-42BB-82FE-DCD68C3084C0}"/>
    <cellStyle name="Total 2 2 6" xfId="10914" xr:uid="{83AF00FE-8B16-4EDC-A64B-F8622D735E88}"/>
    <cellStyle name="Total 2 2 7" xfId="10980" xr:uid="{5D44F5FB-A0F1-42C7-BCA8-DF091FF3D4FD}"/>
    <cellStyle name="Total 2 2 8" xfId="11055" xr:uid="{E3133F44-5620-4A62-8DBB-2E317450B611}"/>
    <cellStyle name="Total 2 2 9" xfId="11177" xr:uid="{8061A491-0A83-44C9-90A1-CB33F8682ADC}"/>
    <cellStyle name="Total 2 3" xfId="83" xr:uid="{00000000-0005-0000-0000-000000260000}"/>
    <cellStyle name="Total 2 3 2" xfId="9765" xr:uid="{00000000-0005-0000-0000-000001260000}"/>
    <cellStyle name="Total 2 3 2 10" xfId="11036" xr:uid="{990C1A87-61DB-4753-9494-DD11E1099ED3}"/>
    <cellStyle name="Total 2 3 2 11" xfId="11073" xr:uid="{C78CFC75-21A8-4532-A00E-FF45CA55928A}"/>
    <cellStyle name="Total 2 3 2 12" xfId="11105" xr:uid="{60FE33A8-42A5-4A82-968F-CC79720F06E9}"/>
    <cellStyle name="Total 2 3 2 13" xfId="11130" xr:uid="{F563AE64-8A88-4342-BB3C-229638C650B4}"/>
    <cellStyle name="Total 2 3 2 14" xfId="11156" xr:uid="{E760905A-40FE-4578-87EA-3DB8D6CBEFDB}"/>
    <cellStyle name="Total 2 3 2 15" xfId="11206" xr:uid="{DEF0401E-AB75-48C2-A438-767746142CB5}"/>
    <cellStyle name="Total 2 3 2 16" xfId="11234" xr:uid="{75D4BF30-9140-4044-9FEA-145CE00D7C4A}"/>
    <cellStyle name="Total 2 3 2 17" xfId="11263" xr:uid="{05882BF6-61C9-4ABD-A798-A3BE20C07353}"/>
    <cellStyle name="Total 2 3 2 18" xfId="11288" xr:uid="{DB41475E-3F2C-4732-903D-4B37643E230C}"/>
    <cellStyle name="Total 2 3 2 19" xfId="11314" xr:uid="{15B65104-FDED-4AA8-9C5D-7F69DAA56FCE}"/>
    <cellStyle name="Total 2 3 2 2" xfId="10624" xr:uid="{BE177F21-BCFA-49C6-832F-06FF90458563}"/>
    <cellStyle name="Total 2 3 2 20" xfId="11441" xr:uid="{C34BA2A6-A4AD-4214-8C26-C1897C90497C}"/>
    <cellStyle name="Total 2 3 2 21" xfId="11461" xr:uid="{CD779B5B-0C27-4F74-8061-7B5E0DBE0D0F}"/>
    <cellStyle name="Total 2 3 2 22" xfId="11485" xr:uid="{6B96CFEB-F4BC-4401-BA03-FFE944F595E3}"/>
    <cellStyle name="Total 2 3 2 3" xfId="10810" xr:uid="{0701DC42-5006-4F10-841E-D700FC34E5C2}"/>
    <cellStyle name="Total 2 3 2 4" xfId="10852" xr:uid="{2D911668-03D1-4746-8766-01919CBD5E66}"/>
    <cellStyle name="Total 2 3 2 5" xfId="10880" xr:uid="{36C4BB70-7A5E-43D7-9827-45109085FA08}"/>
    <cellStyle name="Total 2 3 2 6" xfId="10895" xr:uid="{B729F6D8-D39F-4B72-9CDE-03104D0718CF}"/>
    <cellStyle name="Total 2 3 2 7" xfId="10943" xr:uid="{CC5B540B-CB54-438A-BCBD-FDF354DA9A97}"/>
    <cellStyle name="Total 2 3 2 8" xfId="10974" xr:uid="{76DFA21C-DFE0-41D2-9132-56F958F9BC66}"/>
    <cellStyle name="Total 2 3 2 9" xfId="10999" xr:uid="{FE9ED8C8-6540-4205-833E-DB3E7D9EA746}"/>
    <cellStyle name="Total 2 3 3" xfId="10728" xr:uid="{4A792F26-5B2B-4DEE-9B49-BD1A8D1ADD34}"/>
    <cellStyle name="Total 2 3 4" xfId="10784" xr:uid="{3C6F1021-9C1B-481F-B14F-3F66014FB4E6}"/>
    <cellStyle name="Total 2 3 5" xfId="10908" xr:uid="{688CEE68-40AC-46E6-951F-46A51E3835AA}"/>
    <cellStyle name="Total 2 3 6" xfId="10964" xr:uid="{75F7E8AD-BEC2-4B24-8214-DAFA328075DF}"/>
    <cellStyle name="Total 2 3 7" xfId="11049" xr:uid="{DA2CF6CA-005B-4C30-B7DC-E6B947BB9D11}"/>
    <cellStyle name="Total 2 3 8" xfId="11171" xr:uid="{76CE1DB3-966A-4006-9814-BC2291BFD5B3}"/>
    <cellStyle name="Total 2 3 9" xfId="11209" xr:uid="{E442EB0E-ED22-4606-879C-2549AB8575F4}"/>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3 10" xfId="9790" xr:uid="{DA3374DA-F58B-4D4E-8823-CF52CA9C319B}"/>
    <cellStyle name="Total 3 11" xfId="9792" xr:uid="{BD7A3789-6D43-4C5B-9CDF-614ADEC79247}"/>
    <cellStyle name="Total 3 12" xfId="9829" xr:uid="{D0013C12-1E94-41BD-B23A-954F5B8D965E}"/>
    <cellStyle name="Total 3 13" xfId="9798" xr:uid="{A0A169E3-297E-46CE-85C4-7A24388D7837}"/>
    <cellStyle name="Total 3 14" xfId="9801" xr:uid="{FDAB3AF3-2FC0-48C2-B3BE-49A24A75BF17}"/>
    <cellStyle name="Total 3 15" xfId="9835" xr:uid="{3BFF8A92-6FFD-4080-AE9B-E839B50691A1}"/>
    <cellStyle name="Total 3 16" xfId="9838" xr:uid="{C3D6A294-57FF-4B56-9B7D-66FF08FB6B08}"/>
    <cellStyle name="Total 3 17" xfId="9841" xr:uid="{B4D161BE-CFF6-4745-B88D-FEC81E933BEA}"/>
    <cellStyle name="Total 3 18" xfId="11327" xr:uid="{0E59FB3C-E116-48B5-A81B-AD9CB48DD916}"/>
    <cellStyle name="Total 3 2" xfId="9777" xr:uid="{BF68E2D0-47B3-4157-95AE-F124E4F787BD}"/>
    <cellStyle name="Total 3 3" xfId="9817" xr:uid="{61B6371E-EB76-44F8-8043-220E8428AEC3}"/>
    <cellStyle name="Total 3 4" xfId="9780" xr:uid="{56EDF0AC-7714-4A97-BC05-92517A398295}"/>
    <cellStyle name="Total 3 5" xfId="9820" xr:uid="{A8BE19E4-F05E-43F0-8944-0B280608AC3A}"/>
    <cellStyle name="Total 3 6" xfId="9783" xr:uid="{88EA1FD1-53A1-4AB2-A414-464F683F894A}"/>
    <cellStyle name="Total 3 7" xfId="9823" xr:uid="{04A04B68-2408-49CC-9422-540170BA38A6}"/>
    <cellStyle name="Total 3 8" xfId="9825" xr:uid="{7A456C2A-4BC2-4194-B03A-C9C2BE802602}"/>
    <cellStyle name="Total 3 9" xfId="9787" xr:uid="{989E765F-8F46-4C87-991E-94EBF39F6C54}"/>
    <cellStyle name="Total Bold" xfId="5078" xr:uid="{00000000-0005-0000-0000-000009260000}"/>
    <cellStyle name="Total Bold 10" xfId="9789" xr:uid="{4891DF84-887A-4200-B99C-4BD948F0367E}"/>
    <cellStyle name="Total Bold 11" xfId="9791" xr:uid="{69E2B207-5CF2-4513-89CA-D669132ED424}"/>
    <cellStyle name="Total Bold 12" xfId="9828" xr:uid="{66022E4D-0AFA-4A69-99B4-F114F6DED135}"/>
    <cellStyle name="Total Bold 13" xfId="9797" xr:uid="{E6E344F3-8DF8-46D4-88E1-6B68DCBCEE26}"/>
    <cellStyle name="Total Bold 14" xfId="9800" xr:uid="{48CAD517-3B54-4970-9905-0590D944E63E}"/>
    <cellStyle name="Total Bold 15" xfId="9834" xr:uid="{295C576A-2055-4AB9-A830-C4AE02CCBB08}"/>
    <cellStyle name="Total Bold 16" xfId="9837" xr:uid="{E479FFD9-DFB0-4423-9776-C43AFF06B9BF}"/>
    <cellStyle name="Total Bold 17" xfId="9840" xr:uid="{0932E9EB-0D22-443F-A003-019C42B82C54}"/>
    <cellStyle name="Total Bold 18" xfId="11326" xr:uid="{DA968260-1585-42B5-805C-CC6B311169A0}"/>
    <cellStyle name="Total Bold 2" xfId="9776" xr:uid="{BC6E3FCC-54D6-42EF-BFBD-41F02675F850}"/>
    <cellStyle name="Total Bold 3" xfId="9816" xr:uid="{9CE3DB45-5643-4990-8D7E-5901E358B9CC}"/>
    <cellStyle name="Total Bold 4" xfId="9779" xr:uid="{05C067F9-1633-4BBC-8B90-7FC0247472B6}"/>
    <cellStyle name="Total Bold 5" xfId="9819" xr:uid="{36018A1B-A32C-44A7-A58D-771A8AF5D875}"/>
    <cellStyle name="Total Bold 6" xfId="9782" xr:uid="{5B600BC7-79E5-4928-AEC1-A626F98464A0}"/>
    <cellStyle name="Total Bold 7" xfId="9822" xr:uid="{E5F8C75B-93B7-4F62-B75E-7A46E9B4A553}"/>
    <cellStyle name="Total Bold 8" xfId="9824" xr:uid="{D4337DB5-3AB0-4885-9342-47ADF915EA9E}"/>
    <cellStyle name="Total Bold 9" xfId="9786" xr:uid="{E4924DE7-8C6C-4BBB-9B96-B0D775387DC8}"/>
    <cellStyle name="Totals" xfId="5079" xr:uid="{00000000-0005-0000-0000-00000A260000}"/>
    <cellStyle name="Totals 10" xfId="9785" xr:uid="{49600BE6-FA5C-4C09-9FFE-29DF827D5C08}"/>
    <cellStyle name="Totals 11" xfId="9826" xr:uid="{EB6408A6-CEC9-4009-9507-A0386991113B}"/>
    <cellStyle name="Totals 12" xfId="9788" xr:uid="{63067DB3-91A5-4D1A-8BE4-0A365A03D59B}"/>
    <cellStyle name="Totals 13" xfId="9827" xr:uid="{F1176BFB-88E5-45BB-9B2B-C7B49EE5C853}"/>
    <cellStyle name="Totals 14" xfId="9830" xr:uid="{C86E2D7B-BD8A-44E3-966D-0E5DA9715D0C}"/>
    <cellStyle name="Totals 15" xfId="9796" xr:uid="{A2B45201-1306-4DDD-BA65-46137172AD47}"/>
    <cellStyle name="Totals 16" xfId="9831" xr:uid="{FFCBCA84-F330-4092-BFB7-BB71478244F0}"/>
    <cellStyle name="Totals 17" xfId="9799" xr:uid="{152165C8-2F76-4966-A7C8-4CB0E9FE7497}"/>
    <cellStyle name="Totals 18" xfId="9832" xr:uid="{CA6C1E79-BCD1-445B-B588-2FEA932DCB80}"/>
    <cellStyle name="Totals 19" xfId="9833" xr:uid="{91C4B113-2975-4766-8F5C-4925DB3442A0}"/>
    <cellStyle name="Totals 2" xfId="8567" xr:uid="{00000000-0005-0000-0000-00000B260000}"/>
    <cellStyle name="Totals 2 10" xfId="10281" xr:uid="{3511D528-32FD-4DC1-9841-A8DF1253E8DE}"/>
    <cellStyle name="Totals 2 11" xfId="10544" xr:uid="{B6E7BA61-C16A-44DC-8626-5EF3498A6749}"/>
    <cellStyle name="Totals 2 12" xfId="10285" xr:uid="{A7AC69FD-0060-4DB7-9A92-369A874A1F9A}"/>
    <cellStyle name="Totals 2 13" xfId="10550" xr:uid="{2E099169-5DF5-473B-944B-D4C26BA98F8C}"/>
    <cellStyle name="Totals 2 14" xfId="10287" xr:uid="{7180ED3A-BEB5-4749-814D-54B59FD12975}"/>
    <cellStyle name="Totals 2 15" xfId="10556" xr:uid="{5147ED0C-3EB5-4553-9CC1-084CE8C9832C}"/>
    <cellStyle name="Totals 2 16" xfId="10295" xr:uid="{7200B423-8FEF-42E9-9271-D41247C5B1F4}"/>
    <cellStyle name="Totals 2 17" xfId="10554" xr:uid="{70D52FA5-29E3-4FE2-B27A-63C288D70085}"/>
    <cellStyle name="Totals 2 18" xfId="10301" xr:uid="{D4140FBE-2B44-431E-8005-551D46C771DB}"/>
    <cellStyle name="Totals 2 19" xfId="10305" xr:uid="{B34A6278-AFFF-4271-9AD3-E96A274D4B57}"/>
    <cellStyle name="Totals 2 2" xfId="10537" xr:uid="{AC013F81-5339-4C3F-B5B3-23B85B650EE3}"/>
    <cellStyle name="Totals 2 20" xfId="10320" xr:uid="{607F87BE-6101-4647-9335-28C05DA22944}"/>
    <cellStyle name="Totals 2 21" xfId="10323" xr:uid="{BD390F56-9911-4E5D-AB6B-0CD3BCD2C7C1}"/>
    <cellStyle name="Totals 2 22" xfId="11368" xr:uid="{89B7CAF8-CF52-493B-A759-1D34701635FA}"/>
    <cellStyle name="Totals 2 3" xfId="10263" xr:uid="{E9BE8D13-E556-4B30-B7E8-5EFDA1E6A0E1}"/>
    <cellStyle name="Totals 2 4" xfId="10261" xr:uid="{9A59896E-2EE1-4618-BF2C-0BA6FE9AD40D}"/>
    <cellStyle name="Totals 2 5" xfId="10535" xr:uid="{6F8C88BE-EC7B-411F-8E66-486D4435FAB1}"/>
    <cellStyle name="Totals 2 6" xfId="10541" xr:uid="{00A55AF5-42D5-4624-875F-33F4D5A9E1D3}"/>
    <cellStyle name="Totals 2 7" xfId="10539" xr:uid="{AB83E883-36F1-45F9-AD7E-2E7DB0109ADB}"/>
    <cellStyle name="Totals 2 8" xfId="10276" xr:uid="{0D997BAC-7CB0-431E-B2A1-E54C7A84FC5C}"/>
    <cellStyle name="Totals 2 9" xfId="10542" xr:uid="{E52C0415-6681-446B-9CE1-9616CDF36CEB}"/>
    <cellStyle name="Totals 20" xfId="9836" xr:uid="{D0A5FA1C-3316-4EE7-8448-271D33316E3C}"/>
    <cellStyle name="Totals 21" xfId="9839" xr:uid="{3177B0C9-B759-44CE-B8FD-024C5AE2428B}"/>
    <cellStyle name="Totals 22" xfId="11325" xr:uid="{CBE07513-567D-4636-8844-989D87F92FA2}"/>
    <cellStyle name="Totals 3" xfId="9775" xr:uid="{C80D4400-FA84-462D-A928-FA26437F4DDE}"/>
    <cellStyle name="Totals 4" xfId="9815" xr:uid="{42D4E078-09EB-4265-95F8-D0EE0012A5C6}"/>
    <cellStyle name="Totals 5" xfId="9818" xr:uid="{0297BBC5-C2B4-4DA2-8CBF-8420818C6034}"/>
    <cellStyle name="Totals 6" xfId="9778" xr:uid="{64DA307B-5CCA-433B-AADD-E80EACA15DB6}"/>
    <cellStyle name="Totals 7" xfId="9781" xr:uid="{26E73112-BA3F-4DC2-9CF0-BD91DF35A41C}"/>
    <cellStyle name="Totals 8" xfId="9784" xr:uid="{7EB64F6A-959A-4394-9033-38384300CE97}"/>
    <cellStyle name="Totals 9" xfId="9821" xr:uid="{107AEA7E-9840-48E8-839F-DB920BF47569}"/>
    <cellStyle name="Underline_Single" xfId="5080" xr:uid="{00000000-0005-0000-0000-00000C260000}"/>
    <cellStyle name="UnProtectedCalc" xfId="5081" xr:uid="{00000000-0005-0000-0000-00000D260000}"/>
    <cellStyle name="UnProtectedCalc 2" xfId="6213" xr:uid="{00000000-0005-0000-0000-00000E260000}"/>
    <cellStyle name="UnProtectedCalc 2 2" xfId="11401" xr:uid="{E13619B5-5CCF-4CCC-9D22-17C0881AF7D6}"/>
    <cellStyle name="UnProtectedCalc 3" xfId="9774" xr:uid="{85C0E4D4-733A-4AB5-9758-85BD406B9F15}"/>
    <cellStyle name="UnProtectedCalc 4" xfId="9793" xr:uid="{E8BE0407-AF72-4A72-8906-7A533F681665}"/>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arFormat 2 2" xfId="10392" xr:uid="{DDDB8BB6-EABB-44B8-B3E1-ED33A36B3ED6}"/>
    <cellStyle name="YearFormat 2 3" xfId="11402" xr:uid="{7837FE98-D26C-4CF1-A68D-BFD60AE1151B}"/>
    <cellStyle name="YearFormat 3" xfId="9811" xr:uid="{A1B0C152-BFD9-4769-A4F8-FF5593DEF5B9}"/>
    <cellStyle name="YearFormat 4" xfId="9812" xr:uid="{6EF4C827-1214-40C0-A012-E01412EDFC63}"/>
    <cellStyle name="YearFormat 5" xfId="9772" xr:uid="{6054AE02-1532-49BA-BDC9-BA70528A83A6}"/>
    <cellStyle name="YearFormat 6" xfId="9813" xr:uid="{4C9B19C1-8935-44A4-89DB-E5D218A1218E}"/>
    <cellStyle name="YearFormat 7" xfId="9773" xr:uid="{5B397C2A-1BE9-48BC-A4F9-60AC2CB16304}"/>
    <cellStyle name="YearFormat 8" xfId="9814" xr:uid="{00123D05-68F4-42F5-A758-65EC2A9F7A17}"/>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2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26938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3268" y="134471"/>
          <a:ext cx="18897599" cy="2051556"/>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98133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894617" cy="1843617"/>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7907"/>
          <a:ext cx="16371232" cy="21756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879360" cy="1969994"/>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328678" cy="2337624"/>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960120</xdr:colOff>
          <xdr:row>53</xdr:row>
          <xdr:rowOff>22860</xdr:rowOff>
        </xdr:from>
        <xdr:to>
          <xdr:col>2</xdr:col>
          <xdr:colOff>1379220</xdr:colOff>
          <xdr:row>54</xdr:row>
          <xdr:rowOff>160020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56</xdr:row>
          <xdr:rowOff>22860</xdr:rowOff>
        </xdr:from>
        <xdr:to>
          <xdr:col>2</xdr:col>
          <xdr:colOff>1379220</xdr:colOff>
          <xdr:row>57</xdr:row>
          <xdr:rowOff>160020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59</xdr:row>
          <xdr:rowOff>22860</xdr:rowOff>
        </xdr:from>
        <xdr:to>
          <xdr:col>2</xdr:col>
          <xdr:colOff>1379220</xdr:colOff>
          <xdr:row>60</xdr:row>
          <xdr:rowOff>160020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62</xdr:row>
          <xdr:rowOff>22860</xdr:rowOff>
        </xdr:from>
        <xdr:to>
          <xdr:col>2</xdr:col>
          <xdr:colOff>1379220</xdr:colOff>
          <xdr:row>63</xdr:row>
          <xdr:rowOff>160020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65</xdr:row>
          <xdr:rowOff>22860</xdr:rowOff>
        </xdr:from>
        <xdr:to>
          <xdr:col>2</xdr:col>
          <xdr:colOff>1379220</xdr:colOff>
          <xdr:row>66</xdr:row>
          <xdr:rowOff>160020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68</xdr:row>
          <xdr:rowOff>38100</xdr:rowOff>
        </xdr:from>
        <xdr:to>
          <xdr:col>2</xdr:col>
          <xdr:colOff>1379220</xdr:colOff>
          <xdr:row>69</xdr:row>
          <xdr:rowOff>175260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71</xdr:row>
          <xdr:rowOff>38100</xdr:rowOff>
        </xdr:from>
        <xdr:to>
          <xdr:col>2</xdr:col>
          <xdr:colOff>1379220</xdr:colOff>
          <xdr:row>72</xdr:row>
          <xdr:rowOff>175260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30480</xdr:rowOff>
        </xdr:from>
        <xdr:to>
          <xdr:col>2</xdr:col>
          <xdr:colOff>1371600</xdr:colOff>
          <xdr:row>75</xdr:row>
          <xdr:rowOff>175260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335375" cy="2085975"/>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912250" cy="218046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7537" y="281441"/>
          <a:ext cx="15793391" cy="1560058"/>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3478" y="216648"/>
          <a:ext cx="18049415" cy="2237437"/>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defaultColWidth="9.109375" defaultRowHeight="14.4"/>
  <cols>
    <col min="1" max="1" width="9.109375" style="9"/>
    <col min="2" max="2" width="32.109375" style="27" customWidth="1"/>
    <col min="3" max="3" width="114.33203125" style="9" customWidth="1"/>
    <col min="4" max="4" width="8.109375" style="9" customWidth="1"/>
    <col min="5" max="16384" width="9.109375" style="9"/>
  </cols>
  <sheetData>
    <row r="1" spans="1:3" ht="174" customHeight="1"/>
    <row r="3" spans="1:3" ht="20.399999999999999">
      <c r="B3" s="827" t="s">
        <v>174</v>
      </c>
      <c r="C3" s="827"/>
    </row>
    <row r="4" spans="1:3" ht="11.25" customHeight="1"/>
    <row r="5" spans="1:3" s="30" customFormat="1" ht="25.5" customHeight="1">
      <c r="B5" s="60" t="s">
        <v>420</v>
      </c>
      <c r="C5" s="60" t="s">
        <v>173</v>
      </c>
    </row>
    <row r="6" spans="1:3" s="176" customFormat="1" ht="48" customHeight="1">
      <c r="A6" s="241"/>
      <c r="B6" s="617" t="s">
        <v>170</v>
      </c>
      <c r="C6" s="670" t="s">
        <v>597</v>
      </c>
    </row>
    <row r="7" spans="1:3" s="176" customFormat="1" ht="21" customHeight="1">
      <c r="A7" s="241"/>
      <c r="B7" s="611" t="s">
        <v>553</v>
      </c>
      <c r="C7" s="671" t="s">
        <v>610</v>
      </c>
    </row>
    <row r="8" spans="1:3" s="176" customFormat="1" ht="32.25" customHeight="1">
      <c r="B8" s="611" t="s">
        <v>367</v>
      </c>
      <c r="C8" s="672" t="s">
        <v>598</v>
      </c>
    </row>
    <row r="9" spans="1:3" s="176" customFormat="1" ht="27.75" customHeight="1">
      <c r="B9" s="611" t="s">
        <v>169</v>
      </c>
      <c r="C9" s="672" t="s">
        <v>599</v>
      </c>
    </row>
    <row r="10" spans="1:3" s="176" customFormat="1" ht="33" customHeight="1">
      <c r="B10" s="611" t="s">
        <v>595</v>
      </c>
      <c r="C10" s="671" t="s">
        <v>603</v>
      </c>
    </row>
    <row r="11" spans="1:3" s="176" customFormat="1" ht="26.25" customHeight="1">
      <c r="B11" s="626" t="s">
        <v>368</v>
      </c>
      <c r="C11" s="674" t="s">
        <v>600</v>
      </c>
    </row>
    <row r="12" spans="1:3" s="176" customFormat="1" ht="39.75" customHeight="1">
      <c r="B12" s="611" t="s">
        <v>369</v>
      </c>
      <c r="C12" s="672" t="s">
        <v>601</v>
      </c>
    </row>
    <row r="13" spans="1:3" s="176" customFormat="1" ht="18" customHeight="1">
      <c r="B13" s="611" t="s">
        <v>370</v>
      </c>
      <c r="C13" s="672" t="s">
        <v>602</v>
      </c>
    </row>
    <row r="14" spans="1:3" s="176" customFormat="1" ht="13.5" customHeight="1">
      <c r="B14" s="611"/>
      <c r="C14" s="673"/>
    </row>
    <row r="15" spans="1:3" s="176" customFormat="1" ht="18" customHeight="1">
      <c r="B15" s="611" t="s">
        <v>666</v>
      </c>
      <c r="C15" s="671" t="s">
        <v>664</v>
      </c>
    </row>
    <row r="16" spans="1:3" s="176" customFormat="1" ht="8.25" customHeight="1">
      <c r="B16" s="611"/>
      <c r="C16" s="673"/>
    </row>
    <row r="17" spans="2:3" s="176" customFormat="1" ht="33" customHeight="1">
      <c r="B17" s="675" t="s">
        <v>596</v>
      </c>
      <c r="C17" s="676" t="s">
        <v>665</v>
      </c>
    </row>
    <row r="18" spans="2:3" s="103" customFormat="1" ht="15.6">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O283" zoomScale="90" zoomScaleNormal="90" zoomScaleSheetLayoutView="80" zoomScalePageLayoutView="85" workbookViewId="0">
      <selection activeCell="O316" sqref="O316"/>
    </sheetView>
  </sheetViews>
  <sheetFormatPr defaultColWidth="9.109375" defaultRowHeight="13.8" outlineLevelRow="1" outlineLevelCol="1"/>
  <cols>
    <col min="1" max="1" width="4.5546875" style="509" customWidth="1"/>
    <col min="2" max="2" width="43.5546875" style="254" customWidth="1"/>
    <col min="3" max="3" width="14" style="254" customWidth="1"/>
    <col min="4" max="4" width="18.109375" style="253" customWidth="1"/>
    <col min="5" max="8" width="10.44140625" style="253" customWidth="1" outlineLevel="1"/>
    <col min="9" max="13" width="9.109375" style="253" customWidth="1" outlineLevel="1"/>
    <col min="14" max="14" width="12.44140625" style="253" customWidth="1" outlineLevel="1"/>
    <col min="15" max="15" width="17.5546875" style="253" customWidth="1"/>
    <col min="16" max="24" width="9.44140625" style="253" customWidth="1" outlineLevel="1"/>
    <col min="25" max="25" width="14.109375" style="255" customWidth="1"/>
    <col min="26" max="26" width="14.5546875" style="255" customWidth="1"/>
    <col min="27" max="27" width="16.88671875" style="255" customWidth="1"/>
    <col min="28" max="28" width="17.5546875" style="255" customWidth="1"/>
    <col min="29" max="35" width="14.5546875" style="255" customWidth="1"/>
    <col min="36" max="38" width="15" style="255" customWidth="1"/>
    <col min="39" max="39" width="14.33203125" style="256" customWidth="1"/>
    <col min="40" max="40" width="14.5546875" style="253" customWidth="1"/>
    <col min="41" max="41" width="14.88671875" style="253" customWidth="1"/>
    <col min="42" max="42" width="14" style="253" customWidth="1"/>
    <col min="43" max="43" width="9.5546875" style="253" customWidth="1"/>
    <col min="44" max="44" width="11.109375" style="253" customWidth="1"/>
    <col min="45" max="45" width="12.109375" style="253" customWidth="1"/>
    <col min="46" max="46" width="6.44140625" style="253" bestFit="1" customWidth="1"/>
    <col min="47" max="51" width="9.109375" style="253"/>
    <col min="52" max="52" width="6.44140625" style="253" bestFit="1" customWidth="1"/>
    <col min="53" max="16384" width="9.109375" style="253"/>
  </cols>
  <sheetData>
    <row r="1" spans="1:39" ht="164.25" customHeight="1"/>
    <row r="2" spans="1:39" ht="23.25" customHeight="1" thickBot="1"/>
    <row r="3" spans="1:39" ht="25.5" customHeight="1" thickBot="1">
      <c r="B3" s="877"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77"/>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4"/>
      <c r="C5" s="874" t="s">
        <v>552</v>
      </c>
      <c r="D5" s="875"/>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77" t="s">
        <v>505</v>
      </c>
      <c r="C7" s="878" t="s">
        <v>629</v>
      </c>
      <c r="D7" s="878"/>
      <c r="E7" s="878"/>
      <c r="F7" s="878"/>
      <c r="G7" s="878"/>
      <c r="H7" s="878"/>
      <c r="I7" s="878"/>
      <c r="J7" s="878"/>
      <c r="K7" s="878"/>
      <c r="L7" s="878"/>
      <c r="M7" s="878"/>
      <c r="N7" s="878"/>
      <c r="O7" s="878"/>
      <c r="P7" s="878"/>
      <c r="Q7" s="878"/>
      <c r="R7" s="878"/>
      <c r="S7" s="878"/>
      <c r="T7" s="878"/>
      <c r="U7" s="878"/>
      <c r="V7" s="878"/>
      <c r="W7" s="878"/>
      <c r="X7" s="878"/>
      <c r="Y7" s="605"/>
      <c r="Z7" s="605"/>
      <c r="AA7" s="605"/>
      <c r="AB7" s="605"/>
      <c r="AC7" s="605"/>
      <c r="AD7" s="605"/>
      <c r="AE7" s="270"/>
      <c r="AF7" s="270"/>
      <c r="AG7" s="270"/>
      <c r="AH7" s="270"/>
      <c r="AI7" s="270"/>
      <c r="AJ7" s="270"/>
      <c r="AK7" s="270"/>
      <c r="AL7" s="270"/>
    </row>
    <row r="8" spans="1:39" s="271" customFormat="1" ht="58.5" customHeight="1">
      <c r="A8" s="509"/>
      <c r="B8" s="877"/>
      <c r="C8" s="878" t="s">
        <v>567</v>
      </c>
      <c r="D8" s="878"/>
      <c r="E8" s="878"/>
      <c r="F8" s="878"/>
      <c r="G8" s="878"/>
      <c r="H8" s="878"/>
      <c r="I8" s="878"/>
      <c r="J8" s="878"/>
      <c r="K8" s="878"/>
      <c r="L8" s="878"/>
      <c r="M8" s="878"/>
      <c r="N8" s="878"/>
      <c r="O8" s="878"/>
      <c r="P8" s="878"/>
      <c r="Q8" s="878"/>
      <c r="R8" s="878"/>
      <c r="S8" s="878"/>
      <c r="T8" s="878"/>
      <c r="U8" s="878"/>
      <c r="V8" s="878"/>
      <c r="W8" s="878"/>
      <c r="X8" s="878"/>
      <c r="Y8" s="605"/>
      <c r="Z8" s="605"/>
      <c r="AA8" s="605"/>
      <c r="AB8" s="605"/>
      <c r="AC8" s="605"/>
      <c r="AD8" s="605"/>
      <c r="AE8" s="272"/>
      <c r="AF8" s="255"/>
      <c r="AG8" s="255"/>
      <c r="AH8" s="255"/>
      <c r="AI8" s="255"/>
      <c r="AJ8" s="255"/>
      <c r="AK8" s="255"/>
      <c r="AL8" s="255"/>
      <c r="AM8" s="256"/>
    </row>
    <row r="9" spans="1:39" s="271" customFormat="1" ht="57.75" customHeight="1">
      <c r="A9" s="509"/>
      <c r="B9" s="273"/>
      <c r="C9" s="878" t="s">
        <v>566</v>
      </c>
      <c r="D9" s="878"/>
      <c r="E9" s="878"/>
      <c r="F9" s="878"/>
      <c r="G9" s="878"/>
      <c r="H9" s="878"/>
      <c r="I9" s="878"/>
      <c r="J9" s="878"/>
      <c r="K9" s="878"/>
      <c r="L9" s="878"/>
      <c r="M9" s="878"/>
      <c r="N9" s="878"/>
      <c r="O9" s="878"/>
      <c r="P9" s="878"/>
      <c r="Q9" s="878"/>
      <c r="R9" s="878"/>
      <c r="S9" s="878"/>
      <c r="T9" s="878"/>
      <c r="U9" s="878"/>
      <c r="V9" s="878"/>
      <c r="W9" s="878"/>
      <c r="X9" s="878"/>
      <c r="Y9" s="605"/>
      <c r="Z9" s="605"/>
      <c r="AA9" s="605"/>
      <c r="AB9" s="605"/>
      <c r="AC9" s="605"/>
      <c r="AD9" s="605"/>
      <c r="AE9" s="272"/>
      <c r="AF9" s="255"/>
      <c r="AG9" s="255"/>
      <c r="AH9" s="255"/>
      <c r="AI9" s="255"/>
      <c r="AJ9" s="255"/>
      <c r="AK9" s="255"/>
      <c r="AL9" s="255"/>
      <c r="AM9" s="256"/>
    </row>
    <row r="10" spans="1:39" ht="41.25" customHeight="1">
      <c r="B10" s="275"/>
      <c r="C10" s="878" t="s">
        <v>632</v>
      </c>
      <c r="D10" s="878"/>
      <c r="E10" s="878"/>
      <c r="F10" s="878"/>
      <c r="G10" s="878"/>
      <c r="H10" s="878"/>
      <c r="I10" s="878"/>
      <c r="J10" s="878"/>
      <c r="K10" s="878"/>
      <c r="L10" s="878"/>
      <c r="M10" s="878"/>
      <c r="N10" s="878"/>
      <c r="O10" s="878"/>
      <c r="P10" s="878"/>
      <c r="Q10" s="878"/>
      <c r="R10" s="878"/>
      <c r="S10" s="878"/>
      <c r="T10" s="878"/>
      <c r="U10" s="878"/>
      <c r="V10" s="878"/>
      <c r="W10" s="878"/>
      <c r="X10" s="878"/>
      <c r="Y10" s="605"/>
      <c r="Z10" s="605"/>
      <c r="AA10" s="605"/>
      <c r="AB10" s="605"/>
      <c r="AC10" s="605"/>
      <c r="AD10" s="605"/>
      <c r="AE10" s="272"/>
      <c r="AF10" s="276"/>
      <c r="AG10" s="276"/>
      <c r="AH10" s="276"/>
      <c r="AI10" s="276"/>
      <c r="AJ10" s="276"/>
      <c r="AK10" s="276"/>
      <c r="AL10" s="276"/>
    </row>
    <row r="11" spans="1:39" ht="53.25" customHeight="1">
      <c r="C11" s="878" t="s">
        <v>617</v>
      </c>
      <c r="D11" s="878"/>
      <c r="E11" s="878"/>
      <c r="F11" s="878"/>
      <c r="G11" s="878"/>
      <c r="H11" s="878"/>
      <c r="I11" s="878"/>
      <c r="J11" s="878"/>
      <c r="K11" s="878"/>
      <c r="L11" s="878"/>
      <c r="M11" s="878"/>
      <c r="N11" s="878"/>
      <c r="O11" s="878"/>
      <c r="P11" s="878"/>
      <c r="Q11" s="878"/>
      <c r="R11" s="878"/>
      <c r="S11" s="878"/>
      <c r="T11" s="878"/>
      <c r="U11" s="878"/>
      <c r="V11" s="878"/>
      <c r="W11" s="878"/>
      <c r="X11" s="878"/>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77" t="s">
        <v>528</v>
      </c>
      <c r="C13" s="590" t="s">
        <v>523</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77"/>
      <c r="C14" s="590" t="s">
        <v>524</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0" t="s">
        <v>525</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0" t="s">
        <v>526</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6">
      <c r="B18" s="280" t="s">
        <v>241</v>
      </c>
      <c r="C18" s="281"/>
      <c r="E18" s="589"/>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79" t="s">
        <v>211</v>
      </c>
      <c r="C19" s="881" t="s">
        <v>33</v>
      </c>
      <c r="D19" s="284" t="s">
        <v>422</v>
      </c>
      <c r="E19" s="883" t="s">
        <v>209</v>
      </c>
      <c r="F19" s="884"/>
      <c r="G19" s="884"/>
      <c r="H19" s="884"/>
      <c r="I19" s="884"/>
      <c r="J19" s="884"/>
      <c r="K19" s="884"/>
      <c r="L19" s="884"/>
      <c r="M19" s="885"/>
      <c r="N19" s="889" t="s">
        <v>213</v>
      </c>
      <c r="O19" s="284" t="s">
        <v>423</v>
      </c>
      <c r="P19" s="883" t="s">
        <v>212</v>
      </c>
      <c r="Q19" s="884"/>
      <c r="R19" s="884"/>
      <c r="S19" s="884"/>
      <c r="T19" s="884"/>
      <c r="U19" s="884"/>
      <c r="V19" s="884"/>
      <c r="W19" s="884"/>
      <c r="X19" s="885"/>
      <c r="Y19" s="886" t="s">
        <v>243</v>
      </c>
      <c r="Z19" s="887"/>
      <c r="AA19" s="887"/>
      <c r="AB19" s="887"/>
      <c r="AC19" s="887"/>
      <c r="AD19" s="887"/>
      <c r="AE19" s="887"/>
      <c r="AF19" s="887"/>
      <c r="AG19" s="887"/>
      <c r="AH19" s="887"/>
      <c r="AI19" s="887"/>
      <c r="AJ19" s="887"/>
      <c r="AK19" s="887"/>
      <c r="AL19" s="887"/>
      <c r="AM19" s="888"/>
    </row>
    <row r="20" spans="1:39" s="283" customFormat="1" ht="59.25" customHeight="1">
      <c r="A20" s="509"/>
      <c r="B20" s="880"/>
      <c r="C20" s="882"/>
      <c r="D20" s="285">
        <v>2011</v>
      </c>
      <c r="E20" s="285">
        <v>2012</v>
      </c>
      <c r="F20" s="285">
        <v>2013</v>
      </c>
      <c r="G20" s="285">
        <v>2014</v>
      </c>
      <c r="H20" s="285">
        <v>2015</v>
      </c>
      <c r="I20" s="285">
        <v>2016</v>
      </c>
      <c r="J20" s="285">
        <v>2017</v>
      </c>
      <c r="K20" s="285">
        <v>2018</v>
      </c>
      <c r="L20" s="285">
        <v>2019</v>
      </c>
      <c r="M20" s="285">
        <v>2020</v>
      </c>
      <c r="N20" s="890"/>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GS&gt;50kW</v>
      </c>
      <c r="AB20" s="286" t="str">
        <f>'1.  LRAMVA Summary'!G52</f>
        <v>Street Lighting</v>
      </c>
      <c r="AC20" s="286" t="str">
        <f>'1.  LRAMVA Summary'!H52</f>
        <v>Unmetered Scattered Load</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kWh</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6"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6"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6"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6"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6"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6"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6"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6"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6"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6">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6">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8.6999999999999994E-3</v>
      </c>
      <c r="Z130" s="341">
        <f>HLOOKUP(Z$20,'3.  Distribution Rates'!$C$122:$P$133,3,FALSE)</f>
        <v>6.4999999999999997E-3</v>
      </c>
      <c r="AA130" s="341">
        <f>HLOOKUP(AA$20,'3.  Distribution Rates'!$C$122:$P$133,3,FALSE)</f>
        <v>3.4148000000000001</v>
      </c>
      <c r="AB130" s="341">
        <f>HLOOKUP(AB$20,'3.  Distribution Rates'!$C$122:$P$133,3,FALSE)</f>
        <v>3.0068000000000001</v>
      </c>
      <c r="AC130" s="341">
        <f>HLOOKUP(AC$20,'3.  Distribution Rates'!$C$122:$P$133,3,FALSE)</f>
        <v>6.4999999999999997E-3</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6">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6">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585</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6">
      <c r="B146" s="280" t="s">
        <v>242</v>
      </c>
      <c r="C146" s="281"/>
      <c r="D146" s="589" t="s">
        <v>527</v>
      </c>
      <c r="F146" s="589"/>
      <c r="O146" s="281"/>
      <c r="Y146" s="270"/>
      <c r="Z146" s="267"/>
      <c r="AA146" s="267"/>
      <c r="AB146" s="267"/>
      <c r="AC146" s="267"/>
      <c r="AD146" s="267"/>
      <c r="AE146" s="267"/>
      <c r="AF146" s="267"/>
      <c r="AG146" s="267"/>
      <c r="AH146" s="267"/>
      <c r="AI146" s="267"/>
      <c r="AJ146" s="267"/>
      <c r="AK146" s="267"/>
      <c r="AL146" s="267"/>
      <c r="AM146" s="282"/>
    </row>
    <row r="147" spans="1:39" ht="34.5" customHeight="1">
      <c r="B147" s="879" t="s">
        <v>211</v>
      </c>
      <c r="C147" s="881" t="s">
        <v>33</v>
      </c>
      <c r="D147" s="284" t="s">
        <v>422</v>
      </c>
      <c r="E147" s="883" t="s">
        <v>209</v>
      </c>
      <c r="F147" s="884"/>
      <c r="G147" s="884"/>
      <c r="H147" s="884"/>
      <c r="I147" s="884"/>
      <c r="J147" s="884"/>
      <c r="K147" s="884"/>
      <c r="L147" s="884"/>
      <c r="M147" s="885"/>
      <c r="N147" s="889" t="s">
        <v>213</v>
      </c>
      <c r="O147" s="284" t="s">
        <v>423</v>
      </c>
      <c r="P147" s="883" t="s">
        <v>212</v>
      </c>
      <c r="Q147" s="884"/>
      <c r="R147" s="884"/>
      <c r="S147" s="884"/>
      <c r="T147" s="884"/>
      <c r="U147" s="884"/>
      <c r="V147" s="884"/>
      <c r="W147" s="884"/>
      <c r="X147" s="885"/>
      <c r="Y147" s="886" t="s">
        <v>243</v>
      </c>
      <c r="Z147" s="887"/>
      <c r="AA147" s="887"/>
      <c r="AB147" s="887"/>
      <c r="AC147" s="887"/>
      <c r="AD147" s="887"/>
      <c r="AE147" s="887"/>
      <c r="AF147" s="887"/>
      <c r="AG147" s="887"/>
      <c r="AH147" s="887"/>
      <c r="AI147" s="887"/>
      <c r="AJ147" s="887"/>
      <c r="AK147" s="887"/>
      <c r="AL147" s="887"/>
      <c r="AM147" s="888"/>
    </row>
    <row r="148" spans="1:39" ht="60.75" customHeight="1">
      <c r="B148" s="880"/>
      <c r="C148" s="882"/>
      <c r="D148" s="285">
        <v>2012</v>
      </c>
      <c r="E148" s="285">
        <v>2013</v>
      </c>
      <c r="F148" s="285">
        <v>2014</v>
      </c>
      <c r="G148" s="285">
        <v>2015</v>
      </c>
      <c r="H148" s="285">
        <v>2016</v>
      </c>
      <c r="I148" s="285">
        <v>2017</v>
      </c>
      <c r="J148" s="285">
        <v>2018</v>
      </c>
      <c r="K148" s="285">
        <v>2019</v>
      </c>
      <c r="L148" s="285">
        <v>2020</v>
      </c>
      <c r="M148" s="285">
        <v>2021</v>
      </c>
      <c r="N148" s="890"/>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GS&gt;50kW</v>
      </c>
      <c r="AB148" s="285" t="str">
        <f>'1.  LRAMVA Summary'!G52</f>
        <v>Street Lighting</v>
      </c>
      <c r="AC148" s="285" t="str">
        <f>'1.  LRAMVA Summary'!H52</f>
        <v>Unmetered Scattered Load</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kWh</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6"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6"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6"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6"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6"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6"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6"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6"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6"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6">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6">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8.8000000000000005E-3</v>
      </c>
      <c r="Z258" s="341">
        <f>HLOOKUP(Z$20,'3.  Distribution Rates'!$C$122:$P$133,4,FALSE)</f>
        <v>6.6E-3</v>
      </c>
      <c r="AA258" s="341">
        <f>HLOOKUP(AA$20,'3.  Distribution Rates'!$C$122:$P$133,4,FALSE)</f>
        <v>3.5028999999999999</v>
      </c>
      <c r="AB258" s="341">
        <f>HLOOKUP(AB$20,'3.  Distribution Rates'!$C$122:$P$133,4,FALSE)</f>
        <v>3.0274999999999999</v>
      </c>
      <c r="AC258" s="341">
        <f>HLOOKUP(AC$20,'3.  Distribution Rates'!$C$122:$P$133,4,FALSE)</f>
        <v>6.6E-3</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8">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8">
        <f>SUM(Y260:AL260)</f>
        <v>0</v>
      </c>
    </row>
    <row r="261" spans="1:41" s="380" customFormat="1" ht="15.6">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6">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6">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585</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6">
      <c r="B275" s="280" t="s">
        <v>248</v>
      </c>
      <c r="C275" s="281"/>
      <c r="D275" s="591" t="s">
        <v>527</v>
      </c>
      <c r="E275" s="589"/>
      <c r="O275" s="281"/>
      <c r="Y275" s="270"/>
      <c r="Z275" s="267"/>
      <c r="AA275" s="267"/>
      <c r="AB275" s="267"/>
      <c r="AC275" s="267"/>
      <c r="AD275" s="267"/>
      <c r="AE275" s="267"/>
      <c r="AF275" s="267"/>
      <c r="AG275" s="267"/>
      <c r="AH275" s="267"/>
      <c r="AI275" s="267"/>
      <c r="AJ275" s="267"/>
      <c r="AK275" s="267"/>
      <c r="AL275" s="267"/>
      <c r="AM275" s="282"/>
    </row>
    <row r="276" spans="1:39" ht="33" customHeight="1">
      <c r="B276" s="879" t="s">
        <v>211</v>
      </c>
      <c r="C276" s="881" t="s">
        <v>33</v>
      </c>
      <c r="D276" s="284" t="s">
        <v>422</v>
      </c>
      <c r="E276" s="883" t="s">
        <v>209</v>
      </c>
      <c r="F276" s="884"/>
      <c r="G276" s="884"/>
      <c r="H276" s="884"/>
      <c r="I276" s="884"/>
      <c r="J276" s="884"/>
      <c r="K276" s="884"/>
      <c r="L276" s="884"/>
      <c r="M276" s="885"/>
      <c r="N276" s="889" t="s">
        <v>213</v>
      </c>
      <c r="O276" s="284" t="s">
        <v>423</v>
      </c>
      <c r="P276" s="883" t="s">
        <v>212</v>
      </c>
      <c r="Q276" s="884"/>
      <c r="R276" s="884"/>
      <c r="S276" s="884"/>
      <c r="T276" s="884"/>
      <c r="U276" s="884"/>
      <c r="V276" s="884"/>
      <c r="W276" s="884"/>
      <c r="X276" s="885"/>
      <c r="Y276" s="886" t="s">
        <v>243</v>
      </c>
      <c r="Z276" s="887"/>
      <c r="AA276" s="887"/>
      <c r="AB276" s="887"/>
      <c r="AC276" s="887"/>
      <c r="AD276" s="887"/>
      <c r="AE276" s="887"/>
      <c r="AF276" s="887"/>
      <c r="AG276" s="887"/>
      <c r="AH276" s="887"/>
      <c r="AI276" s="887"/>
      <c r="AJ276" s="887"/>
      <c r="AK276" s="887"/>
      <c r="AL276" s="887"/>
      <c r="AM276" s="888"/>
    </row>
    <row r="277" spans="1:39" ht="60.75" customHeight="1">
      <c r="B277" s="880"/>
      <c r="C277" s="882"/>
      <c r="D277" s="285">
        <v>2013</v>
      </c>
      <c r="E277" s="285">
        <v>2014</v>
      </c>
      <c r="F277" s="285">
        <v>2015</v>
      </c>
      <c r="G277" s="285">
        <v>2016</v>
      </c>
      <c r="H277" s="285">
        <v>2017</v>
      </c>
      <c r="I277" s="285">
        <v>2018</v>
      </c>
      <c r="J277" s="285">
        <v>2019</v>
      </c>
      <c r="K277" s="285">
        <v>2020</v>
      </c>
      <c r="L277" s="285">
        <v>2021</v>
      </c>
      <c r="M277" s="285">
        <v>2022</v>
      </c>
      <c r="N277" s="890"/>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GS&gt;50kW</v>
      </c>
      <c r="AB277" s="285" t="str">
        <f>'1.  LRAMVA Summary'!G52</f>
        <v>Street Lighting</v>
      </c>
      <c r="AC277" s="285" t="str">
        <f>'1.  LRAMVA Summary'!H52</f>
        <v>Unmetered Scattered Load</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kWh</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763">
        <v>13819</v>
      </c>
      <c r="E279" s="763">
        <v>13819</v>
      </c>
      <c r="F279" s="763">
        <v>13819</v>
      </c>
      <c r="G279" s="763">
        <v>13717</v>
      </c>
      <c r="H279" s="763">
        <v>10739</v>
      </c>
      <c r="I279" s="763"/>
      <c r="J279" s="295"/>
      <c r="K279" s="295"/>
      <c r="L279" s="295"/>
      <c r="M279" s="295"/>
      <c r="N279" s="291"/>
      <c r="O279" s="295">
        <v>2</v>
      </c>
      <c r="P279" s="295">
        <v>2</v>
      </c>
      <c r="Q279" s="295">
        <v>2</v>
      </c>
      <c r="R279" s="295">
        <v>2</v>
      </c>
      <c r="S279" s="295">
        <v>2</v>
      </c>
      <c r="T279" s="295"/>
      <c r="U279" s="295"/>
      <c r="V279" s="295"/>
      <c r="W279" s="295"/>
      <c r="X279" s="295"/>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6"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765">
        <v>3694</v>
      </c>
      <c r="E282" s="765">
        <v>3694</v>
      </c>
      <c r="F282" s="765">
        <v>3694</v>
      </c>
      <c r="G282" s="765">
        <v>3694</v>
      </c>
      <c r="H282" s="765"/>
      <c r="I282" s="765"/>
      <c r="J282" s="765"/>
      <c r="K282" s="765"/>
      <c r="L282" s="765"/>
      <c r="M282" s="765"/>
      <c r="N282" s="764"/>
      <c r="O282" s="765">
        <v>2</v>
      </c>
      <c r="P282" s="765">
        <v>2</v>
      </c>
      <c r="Q282" s="765">
        <v>2</v>
      </c>
      <c r="R282" s="765">
        <v>2</v>
      </c>
      <c r="S282" s="765"/>
      <c r="T282" s="765"/>
      <c r="U282" s="295"/>
      <c r="V282" s="295"/>
      <c r="W282" s="295"/>
      <c r="X282" s="295"/>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6"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767">
        <v>11637</v>
      </c>
      <c r="E285" s="814">
        <v>11637</v>
      </c>
      <c r="F285" s="814">
        <v>11637</v>
      </c>
      <c r="G285" s="814">
        <v>11637</v>
      </c>
      <c r="H285" s="814">
        <v>11637</v>
      </c>
      <c r="I285" s="814">
        <v>11637</v>
      </c>
      <c r="J285" s="767"/>
      <c r="K285" s="767"/>
      <c r="L285" s="767"/>
      <c r="M285" s="767"/>
      <c r="N285" s="766"/>
      <c r="O285" s="767">
        <v>6</v>
      </c>
      <c r="P285" s="767">
        <v>6</v>
      </c>
      <c r="Q285" s="767">
        <v>6</v>
      </c>
      <c r="R285" s="767">
        <v>6</v>
      </c>
      <c r="S285" s="767">
        <v>6</v>
      </c>
      <c r="T285" s="767">
        <v>6</v>
      </c>
      <c r="U285" s="295"/>
      <c r="V285" s="295"/>
      <c r="W285" s="295"/>
      <c r="X285" s="295"/>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v>7667</v>
      </c>
      <c r="E288" s="295">
        <v>7667</v>
      </c>
      <c r="F288" s="295">
        <v>7371</v>
      </c>
      <c r="G288" s="295">
        <v>6245</v>
      </c>
      <c r="H288" s="295">
        <v>6245</v>
      </c>
      <c r="I288" s="295">
        <v>6245</v>
      </c>
      <c r="J288" s="295"/>
      <c r="K288" s="295"/>
      <c r="L288" s="295"/>
      <c r="M288" s="295"/>
      <c r="N288" s="291"/>
      <c r="O288" s="295">
        <v>1</v>
      </c>
      <c r="P288" s="295">
        <v>1</v>
      </c>
      <c r="Q288" s="295"/>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769">
        <v>17089</v>
      </c>
      <c r="E291" s="769">
        <v>17089</v>
      </c>
      <c r="F291" s="769">
        <v>16059</v>
      </c>
      <c r="G291" s="769">
        <v>12545</v>
      </c>
      <c r="H291" s="769">
        <v>12545</v>
      </c>
      <c r="I291" s="769">
        <v>12545</v>
      </c>
      <c r="J291" s="769"/>
      <c r="K291" s="769"/>
      <c r="L291" s="769"/>
      <c r="M291" s="769"/>
      <c r="N291" s="768"/>
      <c r="O291" s="769">
        <v>1</v>
      </c>
      <c r="P291" s="769">
        <v>1</v>
      </c>
      <c r="Q291" s="769">
        <v>1</v>
      </c>
      <c r="R291" s="769">
        <v>1</v>
      </c>
      <c r="S291" s="769">
        <v>1</v>
      </c>
      <c r="T291" s="769">
        <v>1</v>
      </c>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771"/>
      <c r="E294" s="771"/>
      <c r="F294" s="771"/>
      <c r="G294" s="771"/>
      <c r="H294" s="771"/>
      <c r="I294" s="771"/>
      <c r="J294" s="771"/>
      <c r="K294" s="771"/>
      <c r="L294" s="771"/>
      <c r="M294" s="771"/>
      <c r="N294" s="770"/>
      <c r="O294" s="771"/>
      <c r="P294" s="771"/>
      <c r="Q294" s="771"/>
      <c r="R294" s="771"/>
      <c r="S294" s="771"/>
      <c r="T294" s="771"/>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6"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772">
        <v>858020</v>
      </c>
      <c r="E307" s="772">
        <v>857141</v>
      </c>
      <c r="F307" s="772">
        <v>857141</v>
      </c>
      <c r="G307" s="772">
        <v>852050</v>
      </c>
      <c r="H307" s="772">
        <v>786191</v>
      </c>
      <c r="I307" s="772">
        <v>785051</v>
      </c>
      <c r="J307" s="772"/>
      <c r="K307" s="772"/>
      <c r="L307" s="772"/>
      <c r="M307" s="772"/>
      <c r="N307" s="772">
        <v>12</v>
      </c>
      <c r="O307" s="772">
        <v>265</v>
      </c>
      <c r="P307" s="772">
        <v>265</v>
      </c>
      <c r="Q307" s="772">
        <v>265</v>
      </c>
      <c r="R307" s="772">
        <v>263</v>
      </c>
      <c r="S307" s="772">
        <v>242</v>
      </c>
      <c r="T307" s="772">
        <v>242</v>
      </c>
      <c r="U307" s="295"/>
      <c r="V307" s="295"/>
      <c r="W307" s="295"/>
      <c r="X307" s="295"/>
      <c r="Y307" s="415"/>
      <c r="Z307" s="503">
        <v>0.14000000000000001</v>
      </c>
      <c r="AA307" s="503"/>
      <c r="AB307" s="503">
        <v>0.86</v>
      </c>
      <c r="AC307" s="415"/>
      <c r="AD307" s="415"/>
      <c r="AE307" s="415"/>
      <c r="AF307" s="415"/>
      <c r="AG307" s="415"/>
      <c r="AH307" s="415"/>
      <c r="AI307" s="415"/>
      <c r="AJ307" s="415"/>
      <c r="AK307" s="415"/>
      <c r="AL307" s="415"/>
      <c r="AM307" s="296">
        <f>SUM(Y307:AL307)</f>
        <v>1</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0.14000000000000001</v>
      </c>
      <c r="AA308" s="411">
        <f t="shared" ref="AA308:AL308" si="86">AA307</f>
        <v>0</v>
      </c>
      <c r="AB308" s="411">
        <f t="shared" si="86"/>
        <v>0.86</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773">
        <v>35113</v>
      </c>
      <c r="E310" s="773">
        <v>35113</v>
      </c>
      <c r="F310" s="773">
        <v>35113</v>
      </c>
      <c r="G310" s="773">
        <v>35113</v>
      </c>
      <c r="H310" s="773">
        <v>5400</v>
      </c>
      <c r="I310" s="773">
        <v>5400</v>
      </c>
      <c r="J310" s="773"/>
      <c r="K310" s="773"/>
      <c r="L310" s="773"/>
      <c r="M310" s="773"/>
      <c r="N310" s="773">
        <v>12</v>
      </c>
      <c r="O310" s="773">
        <v>11</v>
      </c>
      <c r="P310" s="773">
        <v>11</v>
      </c>
      <c r="Q310" s="773">
        <v>11</v>
      </c>
      <c r="R310" s="773">
        <v>11</v>
      </c>
      <c r="S310" s="773">
        <v>2</v>
      </c>
      <c r="T310" s="773">
        <v>2</v>
      </c>
      <c r="U310" s="295"/>
      <c r="V310" s="295"/>
      <c r="W310" s="295"/>
      <c r="X310" s="295"/>
      <c r="Y310" s="415"/>
      <c r="Z310" s="503">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v>50353</v>
      </c>
      <c r="E319" s="295">
        <v>50353</v>
      </c>
      <c r="F319" s="295">
        <v>50353</v>
      </c>
      <c r="G319" s="295"/>
      <c r="H319" s="295"/>
      <c r="I319" s="295"/>
      <c r="J319" s="295"/>
      <c r="K319" s="295"/>
      <c r="L319" s="295"/>
      <c r="M319" s="295"/>
      <c r="N319" s="295">
        <v>12</v>
      </c>
      <c r="O319" s="295">
        <v>10</v>
      </c>
      <c r="P319" s="295">
        <v>10</v>
      </c>
      <c r="Q319" s="295">
        <v>10</v>
      </c>
      <c r="R319" s="295"/>
      <c r="S319" s="295"/>
      <c r="T319" s="295"/>
      <c r="U319" s="295"/>
      <c r="V319" s="295"/>
      <c r="W319" s="295"/>
      <c r="X319" s="295"/>
      <c r="Y319" s="415"/>
      <c r="Z319" s="415">
        <v>1</v>
      </c>
      <c r="AA319" s="503"/>
      <c r="AB319" s="415"/>
      <c r="AC319" s="415"/>
      <c r="AD319" s="415"/>
      <c r="AE319" s="415"/>
      <c r="AF319" s="415"/>
      <c r="AG319" s="415"/>
      <c r="AH319" s="415"/>
      <c r="AI319" s="415"/>
      <c r="AJ319" s="415"/>
      <c r="AK319" s="415"/>
      <c r="AL319" s="415"/>
      <c r="AM319" s="296">
        <f>SUM(Y319:AL319)</f>
        <v>1</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1</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6"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6"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t="s">
        <v>788</v>
      </c>
      <c r="B348" s="315" t="s">
        <v>14</v>
      </c>
      <c r="C348" s="291" t="s">
        <v>25</v>
      </c>
      <c r="D348" s="775">
        <v>50720</v>
      </c>
      <c r="E348" s="775">
        <v>47765</v>
      </c>
      <c r="F348" s="775">
        <v>47496</v>
      </c>
      <c r="G348" s="775">
        <v>40721</v>
      </c>
      <c r="H348" s="775">
        <v>38408</v>
      </c>
      <c r="I348" s="775">
        <v>36095</v>
      </c>
      <c r="J348" s="775"/>
      <c r="K348" s="775"/>
      <c r="L348" s="775"/>
      <c r="M348" s="775"/>
      <c r="N348" s="774"/>
      <c r="O348" s="775">
        <v>3</v>
      </c>
      <c r="P348" s="775">
        <v>3</v>
      </c>
      <c r="Q348" s="775">
        <v>3</v>
      </c>
      <c r="R348" s="775">
        <v>2</v>
      </c>
      <c r="S348" s="775">
        <v>2</v>
      </c>
      <c r="T348" s="775">
        <v>2</v>
      </c>
      <c r="U348" s="295"/>
      <c r="V348" s="295"/>
      <c r="W348" s="295"/>
      <c r="X348" s="295"/>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6"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6"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6"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6"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6">
      <c r="B384" s="327" t="s">
        <v>250</v>
      </c>
      <c r="C384" s="329"/>
      <c r="D384" s="329">
        <f>SUM(D279:D382)</f>
        <v>1048112</v>
      </c>
      <c r="E384" s="329"/>
      <c r="F384" s="329"/>
      <c r="G384" s="329"/>
      <c r="H384" s="329"/>
      <c r="I384" s="329"/>
      <c r="J384" s="329"/>
      <c r="K384" s="329"/>
      <c r="L384" s="329"/>
      <c r="M384" s="329"/>
      <c r="N384" s="329"/>
      <c r="O384" s="329">
        <f>SUM(O279:O382)</f>
        <v>301</v>
      </c>
      <c r="P384" s="329"/>
      <c r="Q384" s="329"/>
      <c r="R384" s="329"/>
      <c r="S384" s="329"/>
      <c r="T384" s="329"/>
      <c r="U384" s="329"/>
      <c r="V384" s="329"/>
      <c r="W384" s="329"/>
      <c r="X384" s="329"/>
      <c r="Y384" s="329">
        <f>IF(Y278="kWh",SUMPRODUCT(D279:D382,Y279:Y382))</f>
        <v>104626</v>
      </c>
      <c r="Z384" s="329">
        <f>IF(Z278="kWh",SUMPRODUCT(D279:D382,Z279:Z382))</f>
        <v>205588.80000000002</v>
      </c>
      <c r="AA384" s="329">
        <f>IF(AA278="kW",SUMPRODUCT(N279:N382,O279:O382,AA279:AA382),SUMPRODUCT(D279:D382,AA279:AA382))</f>
        <v>0</v>
      </c>
      <c r="AB384" s="329">
        <f>IF(AB278="kW",SUMPRODUCT(N279:N382,O279:O382,AB279:AB382),SUMPRODUCT(D279:D382,AB279:AB382))</f>
        <v>2734.8</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6">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8.8000000000000005E-3</v>
      </c>
      <c r="Z387" s="341">
        <f>HLOOKUP(Z$20,'3.  Distribution Rates'!$C$122:$P$133,5,FALSE)</f>
        <v>6.6E-3</v>
      </c>
      <c r="AA387" s="341">
        <f>HLOOKUP(AA$20,'3.  Distribution Rates'!$C$122:$P$133,5,FALSE)</f>
        <v>3.5886</v>
      </c>
      <c r="AB387" s="341">
        <f>HLOOKUP(AB$20,'3.  Distribution Rates'!$C$122:$P$133,5,FALSE)</f>
        <v>3.0459999999999998</v>
      </c>
      <c r="AC387" s="341">
        <f>HLOOKUP(AC$20,'3.  Distribution Rates'!$C$122:$P$133,5,FALSE)</f>
        <v>6.6E-3</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8">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8">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920.70880000000011</v>
      </c>
      <c r="Z390" s="378">
        <f t="shared" ref="Z390:AE390" si="112">Z384*Z387</f>
        <v>1356.8860800000002</v>
      </c>
      <c r="AA390" s="378">
        <f t="shared" si="112"/>
        <v>0</v>
      </c>
      <c r="AB390" s="378">
        <f t="shared" si="112"/>
        <v>8330.2008000000005</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8">
        <f>SUM(Y390:AL390)</f>
        <v>10607.795680000001</v>
      </c>
    </row>
    <row r="391" spans="1:41" s="380" customFormat="1" ht="15.6">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920.70880000000011</v>
      </c>
      <c r="Z391" s="346">
        <f>SUM(Z388:Z390)</f>
        <v>1356.8860800000002</v>
      </c>
      <c r="AA391" s="346">
        <f t="shared" ref="AA391:AE391" si="114">SUM(AA388:AA390)</f>
        <v>0</v>
      </c>
      <c r="AB391" s="346">
        <f t="shared" si="114"/>
        <v>8330.2008000000005</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10607.795680000001</v>
      </c>
    </row>
    <row r="392" spans="1:41" s="380" customFormat="1" ht="15.6">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10607.795680000001</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101671</v>
      </c>
      <c r="Z395" s="291">
        <f>SUMPRODUCT(E279:E382,Z279:Z382)</f>
        <v>205465.74</v>
      </c>
      <c r="AA395" s="291">
        <f>IF(AA278="kW",SUMPRODUCT(N279:N382,P279:P382,AA279:AA382),SUMPRODUCT(E279:E382,AA279:AA382))</f>
        <v>0</v>
      </c>
      <c r="AB395" s="291">
        <f>IF(AB278="kW",SUMPRODUCT(N279:N382,P279:P382,AB279:AB382),SUMPRODUCT(E279:E382,AB279:AB382))</f>
        <v>2734.8</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100076</v>
      </c>
      <c r="Z396" s="291">
        <f>SUMPRODUCT(F279:F382,Z279:Z382)</f>
        <v>205465.74</v>
      </c>
      <c r="AA396" s="291">
        <f>IF(AA278="kW",SUMPRODUCT(N279:N382,Q279:Q382,AA279:AA382),SUMPRODUCT(F279:F382,AA279:AA382))</f>
        <v>0</v>
      </c>
      <c r="AB396" s="291">
        <f>IF(AB278="kW",SUMPRODUCT(N279:N382,Q279:Q382,AB279:AB382),SUMPRODUCT(F279:F382,AB279:AB382))</f>
        <v>2734.8</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88559</v>
      </c>
      <c r="Z397" s="291">
        <f>SUMPRODUCT(G279:G382,Z279:Z382)</f>
        <v>154400</v>
      </c>
      <c r="AA397" s="291">
        <f>IF(AA278="kW",SUMPRODUCT(N279:N382,R279:R382,AA279:AA382),SUMPRODUCT(G279:G382,AA279:AA382))</f>
        <v>0</v>
      </c>
      <c r="AB397" s="291">
        <f>IF(AB278="kW",SUMPRODUCT(N279:N382,R279:R382,AB279:AB382),SUMPRODUCT(G279:G382,AB279:AB382))</f>
        <v>2714.16</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79574</v>
      </c>
      <c r="Z398" s="291">
        <f>SUMPRODUCT(H279:H382,Z279:Z382)</f>
        <v>115466.74</v>
      </c>
      <c r="AA398" s="291">
        <f>IF(AA278="kW",SUMPRODUCT(N279:N382,S279:S382,AA279:AA382),SUMPRODUCT(H279:H382,AA279:AA382))</f>
        <v>0</v>
      </c>
      <c r="AB398" s="291">
        <f>IF(AB278="kW",SUMPRODUCT(N279:N382,S279:S382,AB279:AB382),SUMPRODUCT(H279:H382,AB279:AB382))</f>
        <v>2497.44</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66522</v>
      </c>
      <c r="Z399" s="291">
        <f>SUMPRODUCT(I279:I382,Z279:Z382)</f>
        <v>115307.14000000001</v>
      </c>
      <c r="AA399" s="291">
        <f>IF(AA278="kW",SUMPRODUCT(N279:N382,T279:T382,AA279:AA382),SUMPRODUCT(I279:I382,AA279:AA382))</f>
        <v>0</v>
      </c>
      <c r="AB399" s="291">
        <f>IF(AB278="kW",SUMPRODUCT(N279:N382,T279:T382,AB279:AB382),SUMPRODUCT(I279:I382,AB279:AB382))</f>
        <v>2497.44</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585</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6">
      <c r="B404" s="280" t="s">
        <v>258</v>
      </c>
      <c r="C404" s="281"/>
      <c r="D404" s="589" t="s">
        <v>522</v>
      </c>
      <c r="F404" s="589"/>
      <c r="O404" s="281"/>
      <c r="Y404" s="270"/>
      <c r="Z404" s="267"/>
      <c r="AA404" s="267"/>
      <c r="AB404" s="267"/>
      <c r="AC404" s="267"/>
      <c r="AD404" s="267"/>
      <c r="AE404" s="267"/>
      <c r="AF404" s="267"/>
      <c r="AG404" s="267"/>
      <c r="AH404" s="267"/>
      <c r="AI404" s="267"/>
      <c r="AJ404" s="267"/>
      <c r="AK404" s="267"/>
      <c r="AL404" s="267"/>
      <c r="AM404" s="282"/>
    </row>
    <row r="405" spans="1:40" ht="36" customHeight="1">
      <c r="B405" s="879" t="s">
        <v>211</v>
      </c>
      <c r="C405" s="881" t="s">
        <v>33</v>
      </c>
      <c r="D405" s="284" t="s">
        <v>422</v>
      </c>
      <c r="E405" s="883" t="s">
        <v>209</v>
      </c>
      <c r="F405" s="884"/>
      <c r="G405" s="884"/>
      <c r="H405" s="884"/>
      <c r="I405" s="884"/>
      <c r="J405" s="884"/>
      <c r="K405" s="884"/>
      <c r="L405" s="884"/>
      <c r="M405" s="885"/>
      <c r="N405" s="889" t="s">
        <v>213</v>
      </c>
      <c r="O405" s="284" t="s">
        <v>423</v>
      </c>
      <c r="P405" s="883" t="s">
        <v>212</v>
      </c>
      <c r="Q405" s="884"/>
      <c r="R405" s="884"/>
      <c r="S405" s="884"/>
      <c r="T405" s="884"/>
      <c r="U405" s="884"/>
      <c r="V405" s="884"/>
      <c r="W405" s="884"/>
      <c r="X405" s="885"/>
      <c r="Y405" s="886" t="s">
        <v>243</v>
      </c>
      <c r="Z405" s="887"/>
      <c r="AA405" s="887"/>
      <c r="AB405" s="887"/>
      <c r="AC405" s="887"/>
      <c r="AD405" s="887"/>
      <c r="AE405" s="887"/>
      <c r="AF405" s="887"/>
      <c r="AG405" s="887"/>
      <c r="AH405" s="887"/>
      <c r="AI405" s="887"/>
      <c r="AJ405" s="887"/>
      <c r="AK405" s="887"/>
      <c r="AL405" s="887"/>
      <c r="AM405" s="888"/>
    </row>
    <row r="406" spans="1:40" ht="45.75" customHeight="1">
      <c r="B406" s="880"/>
      <c r="C406" s="882"/>
      <c r="D406" s="285">
        <v>2014</v>
      </c>
      <c r="E406" s="285">
        <v>2015</v>
      </c>
      <c r="F406" s="285">
        <v>2016</v>
      </c>
      <c r="G406" s="285">
        <v>2017</v>
      </c>
      <c r="H406" s="285">
        <v>2018</v>
      </c>
      <c r="I406" s="285">
        <v>2019</v>
      </c>
      <c r="J406" s="285">
        <v>2020</v>
      </c>
      <c r="K406" s="285">
        <v>2021</v>
      </c>
      <c r="L406" s="285">
        <v>2022</v>
      </c>
      <c r="M406" s="285">
        <v>2023</v>
      </c>
      <c r="N406" s="890"/>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GS&gt;50kW</v>
      </c>
      <c r="AB406" s="285" t="str">
        <f>'1.  LRAMVA Summary'!G52</f>
        <v>Street Lighting</v>
      </c>
      <c r="AC406" s="285" t="str">
        <f>'1.  LRAMVA Summary'!H52</f>
        <v>Unmetered Scattered Load</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kWh</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777">
        <v>19002</v>
      </c>
      <c r="E408" s="777">
        <v>19002</v>
      </c>
      <c r="F408" s="777">
        <v>19002</v>
      </c>
      <c r="G408" s="777">
        <v>19002</v>
      </c>
      <c r="H408" s="777">
        <v>10617</v>
      </c>
      <c r="I408" s="777"/>
      <c r="J408" s="777"/>
      <c r="K408" s="777"/>
      <c r="L408" s="777"/>
      <c r="M408" s="777"/>
      <c r="N408" s="776"/>
      <c r="O408" s="777">
        <v>3</v>
      </c>
      <c r="P408" s="777">
        <v>3</v>
      </c>
      <c r="Q408" s="777">
        <v>3</v>
      </c>
      <c r="R408" s="777">
        <v>3</v>
      </c>
      <c r="S408" s="777">
        <v>2</v>
      </c>
      <c r="T408" s="295"/>
      <c r="U408" s="295"/>
      <c r="V408" s="295"/>
      <c r="W408" s="295"/>
      <c r="X408" s="295"/>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6"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779">
        <v>5911</v>
      </c>
      <c r="E411" s="779">
        <v>5911</v>
      </c>
      <c r="F411" s="779">
        <v>5911</v>
      </c>
      <c r="G411" s="779">
        <v>5911</v>
      </c>
      <c r="H411" s="779">
        <v>5911</v>
      </c>
      <c r="I411" s="779"/>
      <c r="J411" s="779"/>
      <c r="K411" s="779"/>
      <c r="L411" s="779"/>
      <c r="M411" s="779"/>
      <c r="N411" s="778"/>
      <c r="O411" s="779">
        <v>3</v>
      </c>
      <c r="P411" s="779">
        <v>3</v>
      </c>
      <c r="Q411" s="779">
        <v>3</v>
      </c>
      <c r="R411" s="779">
        <v>3</v>
      </c>
      <c r="S411" s="779">
        <v>3</v>
      </c>
      <c r="T411" s="295"/>
      <c r="U411" s="295"/>
      <c r="V411" s="295"/>
      <c r="W411" s="295"/>
      <c r="X411" s="295"/>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6"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781">
        <v>19325</v>
      </c>
      <c r="E414" s="781">
        <v>19325</v>
      </c>
      <c r="F414" s="781">
        <v>19325</v>
      </c>
      <c r="G414" s="781">
        <v>19325</v>
      </c>
      <c r="H414" s="781">
        <v>19325</v>
      </c>
      <c r="I414" s="781"/>
      <c r="J414" s="781"/>
      <c r="K414" s="781"/>
      <c r="L414" s="781"/>
      <c r="M414" s="781"/>
      <c r="N414" s="780"/>
      <c r="O414" s="781">
        <v>11</v>
      </c>
      <c r="P414" s="781">
        <v>11</v>
      </c>
      <c r="Q414" s="781">
        <v>11</v>
      </c>
      <c r="R414" s="781">
        <v>11</v>
      </c>
      <c r="S414" s="781">
        <v>11</v>
      </c>
      <c r="T414" s="295"/>
      <c r="U414" s="295"/>
      <c r="V414" s="295"/>
      <c r="W414" s="295"/>
      <c r="X414" s="295"/>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814">
        <v>28031</v>
      </c>
      <c r="E417" s="814">
        <v>26102</v>
      </c>
      <c r="F417" s="814">
        <v>25168</v>
      </c>
      <c r="G417" s="814">
        <v>25168</v>
      </c>
      <c r="H417" s="814">
        <v>25168</v>
      </c>
      <c r="I417" s="783"/>
      <c r="J417" s="783"/>
      <c r="K417" s="783"/>
      <c r="L417" s="783"/>
      <c r="M417" s="783"/>
      <c r="N417" s="782"/>
      <c r="O417" s="783">
        <v>2</v>
      </c>
      <c r="P417" s="783">
        <v>2</v>
      </c>
      <c r="Q417" s="783">
        <v>2</v>
      </c>
      <c r="R417" s="783">
        <v>2</v>
      </c>
      <c r="S417" s="783">
        <v>2</v>
      </c>
      <c r="T417" s="295"/>
      <c r="U417" s="295"/>
      <c r="V417" s="295"/>
      <c r="W417" s="295"/>
      <c r="X417" s="295"/>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785">
        <v>122253</v>
      </c>
      <c r="E420" s="785">
        <v>106053</v>
      </c>
      <c r="F420" s="785">
        <v>97611</v>
      </c>
      <c r="G420" s="785">
        <v>97611</v>
      </c>
      <c r="H420" s="785">
        <v>97611</v>
      </c>
      <c r="I420" s="785"/>
      <c r="J420" s="785"/>
      <c r="K420" s="785"/>
      <c r="L420" s="785"/>
      <c r="M420" s="785"/>
      <c r="N420" s="784"/>
      <c r="O420" s="785">
        <v>8</v>
      </c>
      <c r="P420" s="785">
        <v>7</v>
      </c>
      <c r="Q420" s="785">
        <v>6</v>
      </c>
      <c r="R420" s="785">
        <v>6</v>
      </c>
      <c r="S420" s="785">
        <v>6</v>
      </c>
      <c r="T420" s="295"/>
      <c r="U420" s="295"/>
      <c r="V420" s="295"/>
      <c r="W420" s="295"/>
      <c r="X420" s="295"/>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6"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786">
        <v>40342</v>
      </c>
      <c r="E436" s="786">
        <v>40342</v>
      </c>
      <c r="F436" s="786">
        <v>40342</v>
      </c>
      <c r="G436" s="786">
        <v>35790</v>
      </c>
      <c r="H436" s="786">
        <v>35790</v>
      </c>
      <c r="I436" s="786"/>
      <c r="J436" s="786"/>
      <c r="K436" s="786"/>
      <c r="L436" s="786"/>
      <c r="M436" s="786"/>
      <c r="N436" s="786">
        <v>12</v>
      </c>
      <c r="O436" s="786">
        <v>10</v>
      </c>
      <c r="P436" s="786">
        <v>10</v>
      </c>
      <c r="Q436" s="786">
        <v>10</v>
      </c>
      <c r="R436" s="786">
        <v>9</v>
      </c>
      <c r="S436" s="786">
        <v>9</v>
      </c>
      <c r="T436" s="295"/>
      <c r="U436" s="295"/>
      <c r="V436" s="295"/>
      <c r="W436" s="295"/>
      <c r="X436" s="295"/>
      <c r="Y436" s="415"/>
      <c r="Z436" s="469">
        <v>1</v>
      </c>
      <c r="AA436" s="469"/>
      <c r="AB436" s="469"/>
      <c r="AC436" s="415"/>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1</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795">
        <v>6139</v>
      </c>
      <c r="E439" s="795">
        <v>6139</v>
      </c>
      <c r="F439" s="795">
        <v>6139</v>
      </c>
      <c r="G439" s="795">
        <v>6139</v>
      </c>
      <c r="H439" s="795">
        <v>6139</v>
      </c>
      <c r="I439" s="795"/>
      <c r="J439" s="795"/>
      <c r="K439" s="795"/>
      <c r="L439" s="795"/>
      <c r="M439" s="795"/>
      <c r="N439" s="795">
        <v>12</v>
      </c>
      <c r="O439" s="795">
        <v>2</v>
      </c>
      <c r="P439" s="795">
        <v>2</v>
      </c>
      <c r="Q439" s="795">
        <v>2</v>
      </c>
      <c r="R439" s="795">
        <v>2</v>
      </c>
      <c r="S439" s="795">
        <v>2</v>
      </c>
      <c r="T439" s="295"/>
      <c r="U439" s="295"/>
      <c r="V439" s="295"/>
      <c r="W439" s="295"/>
      <c r="X439" s="295"/>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v>8541</v>
      </c>
      <c r="E448" s="295">
        <v>8541</v>
      </c>
      <c r="F448" s="295"/>
      <c r="G448" s="295"/>
      <c r="H448" s="295"/>
      <c r="I448" s="295"/>
      <c r="J448" s="295"/>
      <c r="K448" s="295"/>
      <c r="L448" s="295"/>
      <c r="M448" s="295"/>
      <c r="N448" s="295">
        <v>12</v>
      </c>
      <c r="O448" s="295">
        <v>1</v>
      </c>
      <c r="P448" s="295">
        <v>1</v>
      </c>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6"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6"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796">
        <v>49677</v>
      </c>
      <c r="E477" s="796">
        <v>49549</v>
      </c>
      <c r="F477" s="796">
        <v>46232</v>
      </c>
      <c r="G477" s="796">
        <v>45084</v>
      </c>
      <c r="H477" s="796">
        <v>43936</v>
      </c>
      <c r="I477" s="295"/>
      <c r="J477" s="295"/>
      <c r="K477" s="295"/>
      <c r="L477" s="295"/>
      <c r="M477" s="295"/>
      <c r="N477" s="291"/>
      <c r="O477" s="295">
        <v>5</v>
      </c>
      <c r="P477" s="295">
        <v>5</v>
      </c>
      <c r="Q477" s="295">
        <v>5</v>
      </c>
      <c r="R477" s="295">
        <v>5</v>
      </c>
      <c r="S477" s="295">
        <v>5</v>
      </c>
      <c r="T477" s="295"/>
      <c r="U477" s="295"/>
      <c r="V477" s="295"/>
      <c r="W477" s="295"/>
      <c r="X477" s="295"/>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6"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6"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6"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6"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c r="E507" s="295"/>
      <c r="F507" s="295"/>
      <c r="G507" s="295"/>
      <c r="H507" s="295"/>
      <c r="I507" s="295"/>
      <c r="J507" s="295"/>
      <c r="K507" s="295"/>
      <c r="L507" s="295"/>
      <c r="M507" s="295"/>
      <c r="N507" s="295">
        <v>0</v>
      </c>
      <c r="O507" s="295">
        <v>25</v>
      </c>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6">
      <c r="B513" s="327" t="s">
        <v>260</v>
      </c>
      <c r="C513" s="329"/>
      <c r="D513" s="329">
        <f>SUM(D408:D511)</f>
        <v>299221</v>
      </c>
      <c r="E513" s="329"/>
      <c r="F513" s="329"/>
      <c r="G513" s="329"/>
      <c r="H513" s="329"/>
      <c r="I513" s="329"/>
      <c r="J513" s="329"/>
      <c r="K513" s="329"/>
      <c r="L513" s="329"/>
      <c r="M513" s="329"/>
      <c r="N513" s="329"/>
      <c r="O513" s="329">
        <f>SUM(O408:O511)</f>
        <v>70</v>
      </c>
      <c r="P513" s="329"/>
      <c r="Q513" s="329"/>
      <c r="R513" s="329"/>
      <c r="S513" s="329"/>
      <c r="T513" s="329"/>
      <c r="U513" s="329"/>
      <c r="V513" s="329"/>
      <c r="W513" s="329"/>
      <c r="X513" s="329"/>
      <c r="Y513" s="329">
        <f>IF(Y407="kWh",SUMPRODUCT(D408:D511,Y408:Y511))</f>
        <v>244199</v>
      </c>
      <c r="Z513" s="329">
        <f>IF(Z407="kWh",SUMPRODUCT(D408:D511,Z408:Z511))</f>
        <v>46481</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6">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1.2E-2</v>
      </c>
      <c r="Z516" s="341">
        <f>HLOOKUP(Z$20,'3.  Distribution Rates'!$C$122:$P$133,6,FALSE)</f>
        <v>8.6999999999999994E-3</v>
      </c>
      <c r="AA516" s="341">
        <f>HLOOKUP(AA$20,'3.  Distribution Rates'!$C$122:$P$133,6,FALSE)</f>
        <v>2.9182999999999999</v>
      </c>
      <c r="AB516" s="341">
        <f>HLOOKUP(AB$20,'3.  Distribution Rates'!$C$122:$P$133,6,FALSE)</f>
        <v>3.7757000000000001</v>
      </c>
      <c r="AC516" s="341">
        <f>HLOOKUP(AC$20,'3.  Distribution Rates'!$C$122:$P$133,6,FALSE)</f>
        <v>7.9000000000000008E-3</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8">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8">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1220.0520000000001</v>
      </c>
      <c r="Z519" s="378">
        <f t="shared" ref="Z519:AL519" si="153">Z395*Z516</f>
        <v>1787.5519379999998</v>
      </c>
      <c r="AA519" s="378">
        <f t="shared" si="153"/>
        <v>0</v>
      </c>
      <c r="AB519" s="378">
        <f t="shared" si="153"/>
        <v>10325.784360000001</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8">
        <f>SUM(Y519:AL519)</f>
        <v>13333.388298000002</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2930.3879999999999</v>
      </c>
      <c r="Z520" s="378">
        <f t="shared" ref="Z520:AK520" si="154">Z513*Z516</f>
        <v>404.38469999999995</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8">
        <f>SUM(Y520:AL520)</f>
        <v>3334.7727</v>
      </c>
    </row>
    <row r="521" spans="2:41" ht="15.6">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4150.4400000000005</v>
      </c>
      <c r="Z521" s="346">
        <f t="shared" ref="Z521:AK521" si="155">SUM(Z517:Z520)</f>
        <v>2191.9366379999997</v>
      </c>
      <c r="AA521" s="346">
        <f t="shared" si="155"/>
        <v>0</v>
      </c>
      <c r="AB521" s="346">
        <f t="shared" si="155"/>
        <v>10325.784360000001</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16668.160998000003</v>
      </c>
    </row>
    <row r="522" spans="2:41" ht="15.6">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6">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16668.160998000003</v>
      </c>
    </row>
    <row r="524" spans="2:41" ht="15.6">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6">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225942</v>
      </c>
      <c r="Z526" s="291">
        <f>SUMPRODUCT(E408:E511,Z408:Z511)</f>
        <v>46481</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213249</v>
      </c>
      <c r="Z527" s="291">
        <f>SUMPRODUCT(F408:F511,Z408:Z511)</f>
        <v>46481</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212101</v>
      </c>
      <c r="Z528" s="291">
        <f>SUMPRODUCT(G408:G511,Z408:Z511)</f>
        <v>41929</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202568</v>
      </c>
      <c r="Z529" s="291">
        <f>SUMPRODUCT(H408:H511,Z408:Z511)</f>
        <v>41929</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585</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4">
      <c r="B534" s="594" t="s">
        <v>527</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300" zoomScale="90" zoomScaleNormal="90" workbookViewId="0">
      <pane xSplit="2" topLeftCell="C1" activePane="topRight" state="frozen"/>
      <selection pane="topRight" activeCell="Y754" sqref="Y754"/>
    </sheetView>
  </sheetViews>
  <sheetFormatPr defaultColWidth="9.109375" defaultRowHeight="14.4" outlineLevelRow="1" outlineLevelCol="1"/>
  <cols>
    <col min="1" max="1" width="4.5546875" style="522" customWidth="1"/>
    <col min="2" max="2" width="44.109375" style="427" customWidth="1"/>
    <col min="3" max="3" width="13.44140625" style="427" customWidth="1"/>
    <col min="4" max="4" width="17" style="427" customWidth="1"/>
    <col min="5" max="13" width="9.109375" style="427" customWidth="1" outlineLevel="1"/>
    <col min="14" max="14" width="13.5546875" style="427" customWidth="1" outlineLevel="1"/>
    <col min="15" max="15" width="15.5546875" style="427" customWidth="1"/>
    <col min="16" max="24" width="9.109375" style="427" customWidth="1" outlineLevel="1"/>
    <col min="25" max="25" width="16.5546875" style="427" customWidth="1"/>
    <col min="26" max="27" width="15" style="427" customWidth="1"/>
    <col min="28" max="28" width="17.5546875" style="427" customWidth="1"/>
    <col min="29" max="29" width="19.5546875" style="427" customWidth="1"/>
    <col min="30" max="30" width="18.5546875" style="427" customWidth="1"/>
    <col min="31" max="35" width="14.88671875" style="427" customWidth="1"/>
    <col min="36" max="38" width="17.33203125" style="427" customWidth="1"/>
    <col min="39" max="39" width="14.5546875" style="427" customWidth="1"/>
    <col min="40" max="40" width="11.5546875" style="427" customWidth="1"/>
    <col min="41" max="16384" width="9.109375" style="427"/>
  </cols>
  <sheetData>
    <row r="13" spans="2:39" ht="15" thickBot="1"/>
    <row r="14" spans="2:39" ht="26.25" customHeight="1" thickBot="1">
      <c r="B14" s="877"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77"/>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77"/>
      <c r="C16" s="874" t="s">
        <v>552</v>
      </c>
      <c r="D16" s="875"/>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6">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77" t="s">
        <v>505</v>
      </c>
      <c r="C18" s="878" t="s">
        <v>689</v>
      </c>
      <c r="D18" s="878"/>
      <c r="E18" s="878"/>
      <c r="F18" s="878"/>
      <c r="G18" s="878"/>
      <c r="H18" s="878"/>
      <c r="I18" s="878"/>
      <c r="J18" s="878"/>
      <c r="K18" s="878"/>
      <c r="L18" s="878"/>
      <c r="M18" s="878"/>
      <c r="N18" s="878"/>
      <c r="O18" s="878"/>
      <c r="P18" s="878"/>
      <c r="Q18" s="878"/>
      <c r="R18" s="878"/>
      <c r="S18" s="878"/>
      <c r="T18" s="878"/>
      <c r="U18" s="878"/>
      <c r="V18" s="878"/>
      <c r="W18" s="878"/>
      <c r="X18" s="878"/>
      <c r="Y18" s="605"/>
      <c r="Z18" s="605"/>
      <c r="AA18" s="605"/>
      <c r="AB18" s="605"/>
      <c r="AC18" s="605"/>
      <c r="AD18" s="605"/>
      <c r="AE18" s="270"/>
      <c r="AF18" s="265"/>
      <c r="AG18" s="265"/>
      <c r="AH18" s="265"/>
      <c r="AI18" s="265"/>
      <c r="AJ18" s="265"/>
      <c r="AK18" s="265"/>
      <c r="AL18" s="265"/>
      <c r="AM18" s="265"/>
    </row>
    <row r="19" spans="2:39" ht="45.75" customHeight="1">
      <c r="B19" s="877"/>
      <c r="C19" s="878" t="s">
        <v>568</v>
      </c>
      <c r="D19" s="878"/>
      <c r="E19" s="878"/>
      <c r="F19" s="878"/>
      <c r="G19" s="878"/>
      <c r="H19" s="878"/>
      <c r="I19" s="878"/>
      <c r="J19" s="878"/>
      <c r="K19" s="878"/>
      <c r="L19" s="878"/>
      <c r="M19" s="878"/>
      <c r="N19" s="878"/>
      <c r="O19" s="878"/>
      <c r="P19" s="878"/>
      <c r="Q19" s="878"/>
      <c r="R19" s="878"/>
      <c r="S19" s="878"/>
      <c r="T19" s="878"/>
      <c r="U19" s="878"/>
      <c r="V19" s="878"/>
      <c r="W19" s="878"/>
      <c r="X19" s="878"/>
      <c r="Y19" s="605"/>
      <c r="Z19" s="605"/>
      <c r="AA19" s="605"/>
      <c r="AB19" s="605"/>
      <c r="AC19" s="605"/>
      <c r="AD19" s="605"/>
      <c r="AE19" s="270"/>
      <c r="AF19" s="265"/>
      <c r="AG19" s="265"/>
      <c r="AH19" s="265"/>
      <c r="AI19" s="265"/>
      <c r="AJ19" s="265"/>
      <c r="AK19" s="265"/>
      <c r="AL19" s="265"/>
      <c r="AM19" s="265"/>
    </row>
    <row r="20" spans="2:39" ht="62.25" customHeight="1">
      <c r="B20" s="273"/>
      <c r="C20" s="878" t="s">
        <v>566</v>
      </c>
      <c r="D20" s="878"/>
      <c r="E20" s="878"/>
      <c r="F20" s="878"/>
      <c r="G20" s="878"/>
      <c r="H20" s="878"/>
      <c r="I20" s="878"/>
      <c r="J20" s="878"/>
      <c r="K20" s="878"/>
      <c r="L20" s="878"/>
      <c r="M20" s="878"/>
      <c r="N20" s="878"/>
      <c r="O20" s="878"/>
      <c r="P20" s="878"/>
      <c r="Q20" s="878"/>
      <c r="R20" s="878"/>
      <c r="S20" s="878"/>
      <c r="T20" s="878"/>
      <c r="U20" s="878"/>
      <c r="V20" s="878"/>
      <c r="W20" s="878"/>
      <c r="X20" s="878"/>
      <c r="Y20" s="605"/>
      <c r="Z20" s="605"/>
      <c r="AA20" s="605"/>
      <c r="AB20" s="605"/>
      <c r="AC20" s="605"/>
      <c r="AD20" s="605"/>
      <c r="AE20" s="428"/>
      <c r="AF20" s="265"/>
      <c r="AG20" s="265"/>
      <c r="AH20" s="265"/>
      <c r="AI20" s="265"/>
      <c r="AJ20" s="265"/>
      <c r="AK20" s="265"/>
      <c r="AL20" s="265"/>
      <c r="AM20" s="265"/>
    </row>
    <row r="21" spans="2:39" ht="37.5" customHeight="1">
      <c r="B21" s="273"/>
      <c r="C21" s="878" t="s">
        <v>632</v>
      </c>
      <c r="D21" s="878"/>
      <c r="E21" s="878"/>
      <c r="F21" s="878"/>
      <c r="G21" s="878"/>
      <c r="H21" s="878"/>
      <c r="I21" s="878"/>
      <c r="J21" s="878"/>
      <c r="K21" s="878"/>
      <c r="L21" s="878"/>
      <c r="M21" s="878"/>
      <c r="N21" s="878"/>
      <c r="O21" s="878"/>
      <c r="P21" s="878"/>
      <c r="Q21" s="878"/>
      <c r="R21" s="878"/>
      <c r="S21" s="878"/>
      <c r="T21" s="878"/>
      <c r="U21" s="878"/>
      <c r="V21" s="878"/>
      <c r="W21" s="878"/>
      <c r="X21" s="878"/>
      <c r="Y21" s="605"/>
      <c r="Z21" s="605"/>
      <c r="AA21" s="605"/>
      <c r="AB21" s="605"/>
      <c r="AC21" s="605"/>
      <c r="AD21" s="605"/>
      <c r="AE21" s="276"/>
      <c r="AF21" s="265"/>
      <c r="AG21" s="265"/>
      <c r="AH21" s="265"/>
      <c r="AI21" s="265"/>
      <c r="AJ21" s="265"/>
      <c r="AK21" s="265"/>
      <c r="AL21" s="265"/>
      <c r="AM21" s="265"/>
    </row>
    <row r="22" spans="2:39" ht="54.75" customHeight="1">
      <c r="B22" s="273"/>
      <c r="C22" s="878" t="s">
        <v>616</v>
      </c>
      <c r="D22" s="878"/>
      <c r="E22" s="878"/>
      <c r="F22" s="878"/>
      <c r="G22" s="878"/>
      <c r="H22" s="878"/>
      <c r="I22" s="878"/>
      <c r="J22" s="878"/>
      <c r="K22" s="878"/>
      <c r="L22" s="878"/>
      <c r="M22" s="878"/>
      <c r="N22" s="878"/>
      <c r="O22" s="878"/>
      <c r="P22" s="878"/>
      <c r="Q22" s="878"/>
      <c r="R22" s="878"/>
      <c r="S22" s="878"/>
      <c r="T22" s="878"/>
      <c r="U22" s="878"/>
      <c r="V22" s="878"/>
      <c r="W22" s="878"/>
      <c r="X22" s="878"/>
      <c r="Y22" s="605"/>
      <c r="Z22" s="605"/>
      <c r="AA22" s="605"/>
      <c r="AB22" s="605"/>
      <c r="AC22" s="605"/>
      <c r="AD22" s="605"/>
      <c r="AE22" s="428"/>
      <c r="AF22" s="265"/>
      <c r="AG22" s="265"/>
      <c r="AH22" s="265"/>
      <c r="AI22" s="265"/>
      <c r="AJ22" s="265"/>
      <c r="AK22" s="265"/>
      <c r="AL22" s="265"/>
      <c r="AM22" s="265"/>
    </row>
    <row r="23" spans="2:39" ht="15.6">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6">
      <c r="B24" s="877" t="s">
        <v>528</v>
      </c>
      <c r="C24" s="595" t="s">
        <v>530</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6">
      <c r="B25" s="877"/>
      <c r="C25" s="595" t="s">
        <v>531</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6">
      <c r="B26" s="539"/>
      <c r="C26" s="595" t="s">
        <v>532</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6">
      <c r="B27" s="539"/>
      <c r="C27" s="595" t="s">
        <v>533</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6">
      <c r="B28" s="539"/>
      <c r="C28" s="595" t="s">
        <v>534</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6">
      <c r="B29" s="539"/>
      <c r="C29" s="595" t="s">
        <v>535</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6">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6">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6">
      <c r="B33" s="280" t="s">
        <v>266</v>
      </c>
      <c r="C33" s="281"/>
      <c r="D33" s="589"/>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79" t="s">
        <v>211</v>
      </c>
      <c r="C34" s="881" t="s">
        <v>33</v>
      </c>
      <c r="D34" s="284" t="s">
        <v>422</v>
      </c>
      <c r="E34" s="883" t="s">
        <v>209</v>
      </c>
      <c r="F34" s="884"/>
      <c r="G34" s="884"/>
      <c r="H34" s="884"/>
      <c r="I34" s="884"/>
      <c r="J34" s="884"/>
      <c r="K34" s="884"/>
      <c r="L34" s="884"/>
      <c r="M34" s="885"/>
      <c r="N34" s="889" t="s">
        <v>213</v>
      </c>
      <c r="O34" s="284" t="s">
        <v>423</v>
      </c>
      <c r="P34" s="883" t="s">
        <v>212</v>
      </c>
      <c r="Q34" s="884"/>
      <c r="R34" s="884"/>
      <c r="S34" s="884"/>
      <c r="T34" s="884"/>
      <c r="U34" s="884"/>
      <c r="V34" s="884"/>
      <c r="W34" s="884"/>
      <c r="X34" s="885"/>
      <c r="Y34" s="886" t="s">
        <v>243</v>
      </c>
      <c r="Z34" s="887"/>
      <c r="AA34" s="887"/>
      <c r="AB34" s="887"/>
      <c r="AC34" s="887"/>
      <c r="AD34" s="887"/>
      <c r="AE34" s="887"/>
      <c r="AF34" s="887"/>
      <c r="AG34" s="887"/>
      <c r="AH34" s="887"/>
      <c r="AI34" s="887"/>
      <c r="AJ34" s="887"/>
      <c r="AK34" s="887"/>
      <c r="AL34" s="887"/>
      <c r="AM34" s="888"/>
    </row>
    <row r="35" spans="1:39" ht="65.25" customHeight="1">
      <c r="B35" s="880"/>
      <c r="C35" s="882"/>
      <c r="D35" s="285">
        <v>2015</v>
      </c>
      <c r="E35" s="285">
        <v>2016</v>
      </c>
      <c r="F35" s="285">
        <v>2017</v>
      </c>
      <c r="G35" s="285">
        <v>2018</v>
      </c>
      <c r="H35" s="285">
        <v>2019</v>
      </c>
      <c r="I35" s="285">
        <v>2020</v>
      </c>
      <c r="J35" s="285">
        <v>2021</v>
      </c>
      <c r="K35" s="285">
        <v>2022</v>
      </c>
      <c r="L35" s="285">
        <v>2023</v>
      </c>
      <c r="M35" s="429">
        <v>2024</v>
      </c>
      <c r="N35" s="890"/>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GS&gt;50kW</v>
      </c>
      <c r="AB35" s="285" t="str">
        <f>'1.  LRAMVA Summary'!G52</f>
        <v>Street Lighting</v>
      </c>
      <c r="AC35" s="285" t="str">
        <f>'1.  LRAMVA Summary'!H52</f>
        <v>Unmetered Scattered Load</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kWh</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outlineLevel="1">
      <c r="A38" s="522">
        <v>1</v>
      </c>
      <c r="B38" s="520" t="s">
        <v>95</v>
      </c>
      <c r="C38" s="291" t="s">
        <v>25</v>
      </c>
      <c r="D38" s="798">
        <v>49903</v>
      </c>
      <c r="E38" s="798">
        <v>49488</v>
      </c>
      <c r="F38" s="798">
        <v>49488</v>
      </c>
      <c r="G38" s="798">
        <v>49488</v>
      </c>
      <c r="H38" s="798"/>
      <c r="I38" s="798"/>
      <c r="J38" s="798"/>
      <c r="K38" s="798"/>
      <c r="L38" s="798"/>
      <c r="M38" s="798"/>
      <c r="N38" s="797"/>
      <c r="O38" s="798">
        <v>3</v>
      </c>
      <c r="P38" s="798">
        <v>3</v>
      </c>
      <c r="Q38" s="798">
        <v>3</v>
      </c>
      <c r="R38" s="798">
        <v>3</v>
      </c>
      <c r="S38" s="295"/>
      <c r="T38" s="295"/>
      <c r="U38" s="295"/>
      <c r="V38" s="295"/>
      <c r="W38" s="295"/>
      <c r="X38" s="295"/>
      <c r="Y38" s="410">
        <v>1</v>
      </c>
      <c r="Z38" s="410"/>
      <c r="AA38" s="410"/>
      <c r="AB38" s="410"/>
      <c r="AC38" s="410"/>
      <c r="AD38" s="410"/>
      <c r="AE38" s="410"/>
      <c r="AF38" s="410"/>
      <c r="AG38" s="410"/>
      <c r="AH38" s="410"/>
      <c r="AI38" s="410"/>
      <c r="AJ38" s="410"/>
      <c r="AK38" s="410"/>
      <c r="AL38" s="410"/>
      <c r="AM38" s="296">
        <f>SUM(Y38:AL38)</f>
        <v>1</v>
      </c>
    </row>
    <row r="39" spans="1:39" ht="15" outlineLevel="1">
      <c r="B39" s="294" t="s">
        <v>267</v>
      </c>
      <c r="C39" s="291" t="s">
        <v>163</v>
      </c>
      <c r="D39" s="295">
        <v>8334</v>
      </c>
      <c r="E39" s="295">
        <v>8214</v>
      </c>
      <c r="F39" s="295">
        <v>8214</v>
      </c>
      <c r="G39" s="295">
        <v>8214</v>
      </c>
      <c r="H39" s="295"/>
      <c r="I39" s="295"/>
      <c r="J39" s="295"/>
      <c r="K39" s="295"/>
      <c r="L39" s="295"/>
      <c r="M39" s="295"/>
      <c r="N39" s="468"/>
      <c r="O39" s="295"/>
      <c r="P39" s="295"/>
      <c r="Q39" s="295"/>
      <c r="R39" s="295"/>
      <c r="S39" s="295"/>
      <c r="T39" s="295"/>
      <c r="U39" s="295"/>
      <c r="V39" s="295"/>
      <c r="W39" s="295"/>
      <c r="X39" s="295"/>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6"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 outlineLevel="1">
      <c r="A41" s="522">
        <v>2</v>
      </c>
      <c r="B41" s="520" t="s">
        <v>96</v>
      </c>
      <c r="C41" s="291" t="s">
        <v>25</v>
      </c>
      <c r="D41" s="800">
        <v>92192</v>
      </c>
      <c r="E41" s="800">
        <v>90553</v>
      </c>
      <c r="F41" s="800">
        <v>90553</v>
      </c>
      <c r="G41" s="800">
        <v>90553</v>
      </c>
      <c r="H41" s="800"/>
      <c r="I41" s="800"/>
      <c r="J41" s="800"/>
      <c r="K41" s="800"/>
      <c r="L41" s="800"/>
      <c r="M41" s="800"/>
      <c r="N41" s="799"/>
      <c r="O41" s="800">
        <v>6</v>
      </c>
      <c r="P41" s="800">
        <v>6</v>
      </c>
      <c r="Q41" s="800">
        <v>6</v>
      </c>
      <c r="R41" s="800">
        <v>6</v>
      </c>
      <c r="S41" s="295"/>
      <c r="T41" s="295"/>
      <c r="U41" s="295"/>
      <c r="V41" s="295"/>
      <c r="W41" s="295"/>
      <c r="X41" s="295"/>
      <c r="Y41" s="410">
        <v>1</v>
      </c>
      <c r="Z41" s="410"/>
      <c r="AA41" s="410"/>
      <c r="AB41" s="410"/>
      <c r="AC41" s="410"/>
      <c r="AD41" s="410"/>
      <c r="AE41" s="410"/>
      <c r="AF41" s="410"/>
      <c r="AG41" s="410"/>
      <c r="AH41" s="410"/>
      <c r="AI41" s="410"/>
      <c r="AJ41" s="410"/>
      <c r="AK41" s="410"/>
      <c r="AL41" s="410"/>
      <c r="AM41" s="296">
        <f>SUM(Y41:AL41)</f>
        <v>1</v>
      </c>
    </row>
    <row r="42" spans="1:39" ht="15" outlineLevel="1">
      <c r="B42" s="294" t="s">
        <v>267</v>
      </c>
      <c r="C42" s="291" t="s">
        <v>163</v>
      </c>
      <c r="D42" s="295">
        <v>954</v>
      </c>
      <c r="E42" s="295">
        <v>942</v>
      </c>
      <c r="F42" s="295">
        <v>942</v>
      </c>
      <c r="G42" s="295">
        <v>942</v>
      </c>
      <c r="H42" s="295"/>
      <c r="I42" s="295"/>
      <c r="J42" s="295"/>
      <c r="K42" s="295"/>
      <c r="L42" s="295"/>
      <c r="M42" s="295"/>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6"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 outlineLevel="1">
      <c r="A44" s="522">
        <v>3</v>
      </c>
      <c r="B44" s="520" t="s">
        <v>97</v>
      </c>
      <c r="C44" s="291" t="s">
        <v>25</v>
      </c>
      <c r="D44" s="295">
        <v>9575</v>
      </c>
      <c r="E44" s="295">
        <v>9575</v>
      </c>
      <c r="F44" s="295">
        <v>9575</v>
      </c>
      <c r="G44" s="295">
        <v>9262</v>
      </c>
      <c r="H44" s="295"/>
      <c r="I44" s="295"/>
      <c r="J44" s="295"/>
      <c r="K44" s="295"/>
      <c r="L44" s="295"/>
      <c r="M44" s="295"/>
      <c r="N44" s="291"/>
      <c r="O44" s="295">
        <v>2</v>
      </c>
      <c r="P44" s="295">
        <v>2</v>
      </c>
      <c r="Q44" s="295">
        <v>2</v>
      </c>
      <c r="R44" s="295">
        <v>1</v>
      </c>
      <c r="S44" s="295"/>
      <c r="T44" s="295"/>
      <c r="U44" s="295"/>
      <c r="V44" s="295"/>
      <c r="W44" s="295"/>
      <c r="X44" s="295"/>
      <c r="Y44" s="410">
        <v>1</v>
      </c>
      <c r="Z44" s="410"/>
      <c r="AA44" s="410"/>
      <c r="AB44" s="410"/>
      <c r="AC44" s="410"/>
      <c r="AD44" s="410"/>
      <c r="AE44" s="410"/>
      <c r="AF44" s="410"/>
      <c r="AG44" s="410"/>
      <c r="AH44" s="410"/>
      <c r="AI44" s="410"/>
      <c r="AJ44" s="410"/>
      <c r="AK44" s="410"/>
      <c r="AL44" s="410"/>
      <c r="AM44" s="296">
        <f>SUM(Y44:AL44)</f>
        <v>1</v>
      </c>
    </row>
    <row r="45" spans="1:39" ht="15"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 outlineLevel="1">
      <c r="A47" s="522">
        <v>4</v>
      </c>
      <c r="B47" s="520" t="s">
        <v>675</v>
      </c>
      <c r="C47" s="291" t="s">
        <v>25</v>
      </c>
      <c r="D47" s="802">
        <v>35061</v>
      </c>
      <c r="E47" s="802">
        <v>35061</v>
      </c>
      <c r="F47" s="802">
        <v>35061</v>
      </c>
      <c r="G47" s="802">
        <v>35061</v>
      </c>
      <c r="H47" s="802"/>
      <c r="I47" s="802"/>
      <c r="J47" s="802"/>
      <c r="K47" s="802"/>
      <c r="L47" s="802"/>
      <c r="M47" s="802"/>
      <c r="N47" s="801"/>
      <c r="O47" s="802">
        <v>17</v>
      </c>
      <c r="P47" s="802">
        <v>17</v>
      </c>
      <c r="Q47" s="802">
        <v>17</v>
      </c>
      <c r="R47" s="802">
        <v>17</v>
      </c>
      <c r="S47" s="295"/>
      <c r="T47" s="295"/>
      <c r="U47" s="295"/>
      <c r="V47" s="295"/>
      <c r="W47" s="295"/>
      <c r="X47" s="295"/>
      <c r="Y47" s="410">
        <v>1</v>
      </c>
      <c r="Z47" s="410"/>
      <c r="AA47" s="410"/>
      <c r="AB47" s="410"/>
      <c r="AC47" s="410"/>
      <c r="AD47" s="410"/>
      <c r="AE47" s="410"/>
      <c r="AF47" s="410"/>
      <c r="AG47" s="410"/>
      <c r="AH47" s="410"/>
      <c r="AI47" s="410"/>
      <c r="AJ47" s="410"/>
      <c r="AK47" s="410"/>
      <c r="AL47" s="410"/>
      <c r="AM47" s="296">
        <f>SUM(Y47:AL47)</f>
        <v>1</v>
      </c>
    </row>
    <row r="48" spans="1:39" ht="15" outlineLevel="1">
      <c r="B48" s="294" t="s">
        <v>267</v>
      </c>
      <c r="C48" s="291" t="s">
        <v>163</v>
      </c>
      <c r="D48" s="295">
        <v>2058</v>
      </c>
      <c r="E48" s="295">
        <v>2058</v>
      </c>
      <c r="F48" s="295">
        <v>2058</v>
      </c>
      <c r="G48" s="295">
        <v>2058</v>
      </c>
      <c r="H48" s="295"/>
      <c r="I48" s="295"/>
      <c r="J48" s="295"/>
      <c r="K48" s="295"/>
      <c r="L48" s="295"/>
      <c r="M48" s="295"/>
      <c r="N48" s="468"/>
      <c r="O48" s="295"/>
      <c r="P48" s="295"/>
      <c r="Q48" s="295"/>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ht="15"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ht="15"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803">
        <v>76066</v>
      </c>
      <c r="E57" s="803">
        <v>76066</v>
      </c>
      <c r="F57" s="803">
        <v>74697</v>
      </c>
      <c r="G57" s="803">
        <v>74697</v>
      </c>
      <c r="H57" s="803"/>
      <c r="I57" s="803"/>
      <c r="J57" s="803"/>
      <c r="K57" s="803"/>
      <c r="L57" s="803"/>
      <c r="M57" s="803"/>
      <c r="N57" s="803">
        <v>12</v>
      </c>
      <c r="O57" s="803">
        <v>1</v>
      </c>
      <c r="P57" s="803">
        <v>1</v>
      </c>
      <c r="Q57" s="803"/>
      <c r="R57" s="803"/>
      <c r="S57" s="295"/>
      <c r="T57" s="295"/>
      <c r="U57" s="295"/>
      <c r="V57" s="295"/>
      <c r="W57" s="295"/>
      <c r="X57" s="295"/>
      <c r="Y57" s="533"/>
      <c r="Z57" s="533">
        <v>1</v>
      </c>
      <c r="AA57" s="533"/>
      <c r="AB57" s="410"/>
      <c r="AC57" s="533"/>
      <c r="AD57" s="410"/>
      <c r="AE57" s="410"/>
      <c r="AF57" s="415"/>
      <c r="AG57" s="415"/>
      <c r="AH57" s="415"/>
      <c r="AI57" s="415"/>
      <c r="AJ57" s="415"/>
      <c r="AK57" s="415"/>
      <c r="AL57" s="415"/>
      <c r="AM57" s="296">
        <f>SUM(Y57:AL57)</f>
        <v>1</v>
      </c>
    </row>
    <row r="58" spans="1:39" ht="15" outlineLevel="1">
      <c r="B58" s="294" t="s">
        <v>267</v>
      </c>
      <c r="C58" s="291" t="s">
        <v>163</v>
      </c>
      <c r="D58" s="295">
        <v>-1013</v>
      </c>
      <c r="E58" s="295">
        <v>-1013</v>
      </c>
      <c r="F58" s="295">
        <v>356</v>
      </c>
      <c r="G58" s="295">
        <v>356</v>
      </c>
      <c r="H58" s="295"/>
      <c r="I58" s="295"/>
      <c r="J58" s="295"/>
      <c r="K58" s="295"/>
      <c r="L58" s="295"/>
      <c r="M58" s="295"/>
      <c r="N58" s="295">
        <f>N57</f>
        <v>12</v>
      </c>
      <c r="O58" s="295"/>
      <c r="P58" s="295"/>
      <c r="Q58" s="295"/>
      <c r="R58" s="295"/>
      <c r="S58" s="295"/>
      <c r="T58" s="295"/>
      <c r="U58" s="295"/>
      <c r="V58" s="295"/>
      <c r="W58" s="295"/>
      <c r="X58" s="295"/>
      <c r="Y58" s="411">
        <f>Y57</f>
        <v>0</v>
      </c>
      <c r="Z58" s="411">
        <f>Z57</f>
        <v>1</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c r="E60" s="295"/>
      <c r="F60" s="295"/>
      <c r="G60" s="295"/>
      <c r="H60" s="295"/>
      <c r="I60" s="295"/>
      <c r="J60" s="295"/>
      <c r="K60" s="295"/>
      <c r="L60" s="295"/>
      <c r="M60" s="295"/>
      <c r="N60" s="295">
        <v>12</v>
      </c>
      <c r="O60" s="295"/>
      <c r="P60" s="295"/>
      <c r="Q60" s="295"/>
      <c r="R60" s="295"/>
      <c r="S60" s="295"/>
      <c r="T60" s="295"/>
      <c r="U60" s="295"/>
      <c r="V60" s="295"/>
      <c r="W60" s="295"/>
      <c r="X60" s="295"/>
      <c r="Y60" s="415"/>
      <c r="Z60" s="533"/>
      <c r="AA60" s="410"/>
      <c r="AB60" s="410"/>
      <c r="AC60" s="410"/>
      <c r="AD60" s="410"/>
      <c r="AE60" s="410"/>
      <c r="AF60" s="415"/>
      <c r="AG60" s="415"/>
      <c r="AH60" s="415"/>
      <c r="AI60" s="415"/>
      <c r="AJ60" s="415"/>
      <c r="AK60" s="415"/>
      <c r="AL60" s="415"/>
      <c r="AM60" s="296">
        <f>SUM(Y60:AL60)</f>
        <v>0</v>
      </c>
    </row>
    <row r="61" spans="1:39" ht="15"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0</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ht="15"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6"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t="15"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0"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ht="15"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6"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 outlineLevel="1">
      <c r="A80" s="522">
        <v>14</v>
      </c>
      <c r="B80" s="315" t="s">
        <v>108</v>
      </c>
      <c r="C80" s="291" t="s">
        <v>25</v>
      </c>
      <c r="D80" s="804">
        <v>5872</v>
      </c>
      <c r="E80" s="804">
        <v>5136</v>
      </c>
      <c r="F80" s="804">
        <v>5032</v>
      </c>
      <c r="G80" s="804">
        <v>4928</v>
      </c>
      <c r="H80" s="804"/>
      <c r="I80" s="804"/>
      <c r="J80" s="804"/>
      <c r="K80" s="804"/>
      <c r="L80" s="804"/>
      <c r="M80" s="804"/>
      <c r="N80" s="804">
        <v>12</v>
      </c>
      <c r="O80" s="804">
        <v>1</v>
      </c>
      <c r="P80" s="804">
        <v>1</v>
      </c>
      <c r="Q80" s="804">
        <v>1</v>
      </c>
      <c r="R80" s="804">
        <v>1</v>
      </c>
      <c r="S80" s="295"/>
      <c r="T80" s="295"/>
      <c r="U80" s="295"/>
      <c r="V80" s="295"/>
      <c r="W80" s="295"/>
      <c r="X80" s="295"/>
      <c r="Y80" s="533">
        <v>1</v>
      </c>
      <c r="Z80" s="410"/>
      <c r="AA80" s="410"/>
      <c r="AB80" s="410"/>
      <c r="AC80" s="410"/>
      <c r="AD80" s="410"/>
      <c r="AE80" s="410"/>
      <c r="AF80" s="410"/>
      <c r="AG80" s="410"/>
      <c r="AH80" s="410"/>
      <c r="AI80" s="410"/>
      <c r="AJ80" s="410"/>
      <c r="AK80" s="410"/>
      <c r="AL80" s="410"/>
      <c r="AM80" s="296">
        <f>SUM(Y80:AL80)</f>
        <v>1</v>
      </c>
    </row>
    <row r="81" spans="1:40" ht="15"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ht="1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29"/>
    </row>
    <row r="83" spans="1:40" s="309" customFormat="1" ht="15.6"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0"/>
    </row>
    <row r="84" spans="1:40" ht="15"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6"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6"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6"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6"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6"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ht="15"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6"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6"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0"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6">
      <c r="B195" s="327" t="s">
        <v>271</v>
      </c>
      <c r="C195" s="329"/>
      <c r="D195" s="329">
        <f>SUM(D38:D193)</f>
        <v>279002</v>
      </c>
      <c r="E195" s="329"/>
      <c r="F195" s="329"/>
      <c r="G195" s="329"/>
      <c r="H195" s="329"/>
      <c r="I195" s="329"/>
      <c r="J195" s="329"/>
      <c r="K195" s="329"/>
      <c r="L195" s="329"/>
      <c r="M195" s="329"/>
      <c r="N195" s="329"/>
      <c r="O195" s="329">
        <f>SUM(O38:O193)</f>
        <v>30</v>
      </c>
      <c r="P195" s="329"/>
      <c r="Q195" s="329"/>
      <c r="R195" s="329"/>
      <c r="S195" s="329"/>
      <c r="T195" s="329"/>
      <c r="U195" s="329"/>
      <c r="V195" s="329"/>
      <c r="W195" s="329"/>
      <c r="X195" s="329"/>
      <c r="Y195" s="329">
        <f>IF(Y36="kWh",SUMPRODUCT(D38:D193,Y38:Y193))</f>
        <v>203949</v>
      </c>
      <c r="Z195" s="329">
        <f>IF(Z36="kWh",SUMPRODUCT(D38:D193,Z38:Z193))</f>
        <v>75053</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6">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1.37E-2</v>
      </c>
      <c r="Z198" s="341">
        <f>HLOOKUP(Z$35,'3.  Distribution Rates'!$C$122:$P$133,7,FALSE)</f>
        <v>9.9000000000000008E-3</v>
      </c>
      <c r="AA198" s="341">
        <f>HLOOKUP(AA$35,'3.  Distribution Rates'!$C$122:$P$133,7,FALSE)</f>
        <v>2.6025999999999998</v>
      </c>
      <c r="AB198" s="341">
        <f>HLOOKUP(AB$35,'3.  Distribution Rates'!$C$122:$P$133,7,FALSE)</f>
        <v>4.1740000000000004</v>
      </c>
      <c r="AC198" s="341">
        <f>HLOOKUP(AC$35,'3.  Distribution Rates'!$C$122:$P$133,7,FALSE)</f>
        <v>8.6999999999999994E-3</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8">
        <f>SUM(Y199:AL199)</f>
        <v>0</v>
      </c>
    </row>
    <row r="200" spans="2:39" ht="1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8">
        <f>SUM(Y200:AL200)</f>
        <v>0</v>
      </c>
    </row>
    <row r="201" spans="2:39" ht="1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1371.0412000000001</v>
      </c>
      <c r="Z201" s="378">
        <f>'4.  2011-2014 LRAM'!Z396*Z198</f>
        <v>2034.1108260000001</v>
      </c>
      <c r="AA201" s="378">
        <f>'4.  2011-2014 LRAM'!AA396*AA198</f>
        <v>0</v>
      </c>
      <c r="AB201" s="378">
        <f>'4.  2011-2014 LRAM'!AB396*AB198</f>
        <v>11415.055200000003</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8">
        <f>SUM(Y201:AL201)</f>
        <v>14820.207226000002</v>
      </c>
    </row>
    <row r="202" spans="2:39" ht="1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3095.4054000000001</v>
      </c>
      <c r="Z202" s="378">
        <f>'4.  2011-2014 LRAM'!Z526*Z198</f>
        <v>460.16190000000006</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8">
        <f>SUM(Y202:AL202)</f>
        <v>3555.5673000000002</v>
      </c>
    </row>
    <row r="203" spans="2:39" ht="1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2794.1013000000003</v>
      </c>
      <c r="Z203" s="378">
        <f>Z195*Z198</f>
        <v>743.02470000000005</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8">
        <f>SUM(Y203:AL203)</f>
        <v>3537.1260000000002</v>
      </c>
    </row>
    <row r="204" spans="2:39" ht="15.6">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7260.5479000000005</v>
      </c>
      <c r="Z204" s="346">
        <f>SUM(Z199:Z203)</f>
        <v>3237.2974260000001</v>
      </c>
      <c r="AA204" s="346">
        <f t="shared" ref="AA204:AE204" si="554">SUM(AA199:AA203)</f>
        <v>0</v>
      </c>
      <c r="AB204" s="346">
        <f t="shared" si="554"/>
        <v>11415.055200000003</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21912.900526000001</v>
      </c>
    </row>
    <row r="205" spans="2:39" ht="15.6">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6">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21912.900526000001</v>
      </c>
    </row>
    <row r="207" spans="2:39" ht="1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201027</v>
      </c>
      <c r="Z208" s="291">
        <f>SUMPRODUCT(E38:E193,Z38:Z193)</f>
        <v>75053</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200923</v>
      </c>
      <c r="Z209" s="291">
        <f>SUMPRODUCT(F38:F193,Z38:Z193)</f>
        <v>75053</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200506</v>
      </c>
      <c r="Z210" s="291">
        <f>SUMPRODUCT(G38:G193,Z38:Z193)</f>
        <v>75053</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0</v>
      </c>
      <c r="Z212" s="326">
        <f>SUMPRODUCT(I38:I193,Z38:Z193)</f>
        <v>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585</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6">
      <c r="B214" s="438"/>
    </row>
    <row r="215" spans="1:39" ht="15.6">
      <c r="B215" s="438"/>
    </row>
    <row r="216" spans="1:39" ht="15.6">
      <c r="B216" s="280" t="s">
        <v>273</v>
      </c>
      <c r="C216" s="281"/>
      <c r="D216" s="589" t="s">
        <v>527</v>
      </c>
      <c r="E216" s="253"/>
      <c r="F216" s="589"/>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79" t="s">
        <v>211</v>
      </c>
      <c r="C217" s="881" t="s">
        <v>33</v>
      </c>
      <c r="D217" s="284" t="s">
        <v>422</v>
      </c>
      <c r="E217" s="883" t="s">
        <v>209</v>
      </c>
      <c r="F217" s="884"/>
      <c r="G217" s="884"/>
      <c r="H217" s="884"/>
      <c r="I217" s="884"/>
      <c r="J217" s="884"/>
      <c r="K217" s="884"/>
      <c r="L217" s="884"/>
      <c r="M217" s="885"/>
      <c r="N217" s="889" t="s">
        <v>213</v>
      </c>
      <c r="O217" s="284" t="s">
        <v>423</v>
      </c>
      <c r="P217" s="883" t="s">
        <v>212</v>
      </c>
      <c r="Q217" s="884"/>
      <c r="R217" s="884"/>
      <c r="S217" s="884"/>
      <c r="T217" s="884"/>
      <c r="U217" s="884"/>
      <c r="V217" s="884"/>
      <c r="W217" s="884"/>
      <c r="X217" s="885"/>
      <c r="Y217" s="886" t="s">
        <v>243</v>
      </c>
      <c r="Z217" s="887"/>
      <c r="AA217" s="887"/>
      <c r="AB217" s="887"/>
      <c r="AC217" s="887"/>
      <c r="AD217" s="887"/>
      <c r="AE217" s="887"/>
      <c r="AF217" s="887"/>
      <c r="AG217" s="887"/>
      <c r="AH217" s="887"/>
      <c r="AI217" s="887"/>
      <c r="AJ217" s="887"/>
      <c r="AK217" s="887"/>
      <c r="AL217" s="887"/>
      <c r="AM217" s="888"/>
    </row>
    <row r="218" spans="1:39" ht="60.75" customHeight="1">
      <c r="B218" s="880"/>
      <c r="C218" s="882"/>
      <c r="D218" s="285">
        <v>2016</v>
      </c>
      <c r="E218" s="285">
        <v>2017</v>
      </c>
      <c r="F218" s="285">
        <v>2018</v>
      </c>
      <c r="G218" s="285">
        <v>2019</v>
      </c>
      <c r="H218" s="285">
        <v>2020</v>
      </c>
      <c r="I218" s="285">
        <v>2021</v>
      </c>
      <c r="J218" s="285">
        <v>2022</v>
      </c>
      <c r="K218" s="285">
        <v>2023</v>
      </c>
      <c r="L218" s="285">
        <v>2024</v>
      </c>
      <c r="M218" s="285">
        <v>2025</v>
      </c>
      <c r="N218" s="890"/>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GS&gt;50kW</v>
      </c>
      <c r="AB218" s="285" t="str">
        <f>'1.  LRAMVA Summary'!G52</f>
        <v>Street Lighting</v>
      </c>
      <c r="AC218" s="285" t="str">
        <f>'1.  LRAMVA Summary'!H52</f>
        <v>Unmetered Scattered Load</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kWh</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6"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6"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6"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ht="1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 outlineLevel="1">
      <c r="A230" s="522">
        <v>4</v>
      </c>
      <c r="B230" s="520" t="s">
        <v>675</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ht="1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ht="1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6"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ht="1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ht="1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ht="1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ht="1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ht="1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6"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ht="1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0"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ht="1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ht="1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6"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ht="1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9"/>
    </row>
    <row r="266" spans="1:40" s="309" customFormat="1" ht="15.6"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0"/>
    </row>
    <row r="267" spans="1:40" ht="15"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ht="1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ht="1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6"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ht="1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ht="1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ht="1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6"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6"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6"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 outlineLevel="1">
      <c r="A288" s="522">
        <v>21</v>
      </c>
      <c r="B288" s="520" t="s">
        <v>113</v>
      </c>
      <c r="C288" s="291" t="s">
        <v>25</v>
      </c>
      <c r="D288" s="806">
        <v>424617</v>
      </c>
      <c r="E288" s="806">
        <v>424617</v>
      </c>
      <c r="F288" s="806">
        <v>424617</v>
      </c>
      <c r="G288" s="806"/>
      <c r="H288" s="806"/>
      <c r="I288" s="806"/>
      <c r="J288" s="806"/>
      <c r="K288" s="806"/>
      <c r="L288" s="806"/>
      <c r="M288" s="806"/>
      <c r="N288" s="805"/>
      <c r="O288" s="806">
        <v>28</v>
      </c>
      <c r="P288" s="806">
        <v>28</v>
      </c>
      <c r="Q288" s="806">
        <v>28</v>
      </c>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289</v>
      </c>
      <c r="C289" s="291" t="s">
        <v>163</v>
      </c>
      <c r="D289" s="806">
        <v>47325</v>
      </c>
      <c r="E289" s="806">
        <v>47235</v>
      </c>
      <c r="F289" s="806">
        <v>47235</v>
      </c>
      <c r="G289" s="806"/>
      <c r="H289" s="806"/>
      <c r="I289" s="806"/>
      <c r="J289" s="806"/>
      <c r="K289" s="806"/>
      <c r="L289" s="806"/>
      <c r="M289" s="806"/>
      <c r="N289" s="805"/>
      <c r="O289" s="806">
        <v>23</v>
      </c>
      <c r="P289" s="806">
        <v>23</v>
      </c>
      <c r="Q289" s="806">
        <v>23</v>
      </c>
      <c r="R289" s="295"/>
      <c r="S289" s="295"/>
      <c r="T289" s="295"/>
      <c r="U289" s="295"/>
      <c r="V289" s="295"/>
      <c r="W289" s="295"/>
      <c r="X289" s="295"/>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ht="15" outlineLevel="1">
      <c r="B290" s="294"/>
      <c r="C290" s="291"/>
      <c r="D290" s="805"/>
      <c r="E290" s="805"/>
      <c r="F290" s="805"/>
      <c r="G290" s="805"/>
      <c r="H290" s="805"/>
      <c r="I290" s="805"/>
      <c r="J290" s="805"/>
      <c r="K290" s="805"/>
      <c r="L290" s="805"/>
      <c r="M290" s="805"/>
      <c r="N290" s="805"/>
      <c r="O290" s="805"/>
      <c r="P290" s="805"/>
      <c r="Q290" s="805"/>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806">
        <v>25834</v>
      </c>
      <c r="E291" s="806">
        <v>25834</v>
      </c>
      <c r="F291" s="806">
        <v>25834</v>
      </c>
      <c r="G291" s="806"/>
      <c r="H291" s="806"/>
      <c r="I291" s="806"/>
      <c r="J291" s="806"/>
      <c r="K291" s="806"/>
      <c r="L291" s="806"/>
      <c r="M291" s="806"/>
      <c r="N291" s="805"/>
      <c r="O291" s="806">
        <v>7</v>
      </c>
      <c r="P291" s="806">
        <v>7</v>
      </c>
      <c r="Q291" s="806">
        <v>7</v>
      </c>
      <c r="R291" s="295"/>
      <c r="S291" s="295"/>
      <c r="T291" s="295"/>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289</v>
      </c>
      <c r="C292" s="291" t="s">
        <v>163</v>
      </c>
      <c r="D292" s="806"/>
      <c r="E292" s="806"/>
      <c r="F292" s="806"/>
      <c r="G292" s="806"/>
      <c r="H292" s="806"/>
      <c r="I292" s="806"/>
      <c r="J292" s="806"/>
      <c r="K292" s="806"/>
      <c r="L292" s="806"/>
      <c r="M292" s="806"/>
      <c r="N292" s="805"/>
      <c r="O292" s="806">
        <v>10</v>
      </c>
      <c r="P292" s="806">
        <v>10</v>
      </c>
      <c r="Q292" s="806">
        <v>10</v>
      </c>
      <c r="R292" s="295"/>
      <c r="S292" s="295"/>
      <c r="T292" s="295"/>
      <c r="U292" s="295"/>
      <c r="V292" s="295"/>
      <c r="W292" s="295"/>
      <c r="X292" s="295"/>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ht="1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ht="1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 outlineLevel="1">
      <c r="A297" s="522">
        <v>24</v>
      </c>
      <c r="B297" s="520" t="s">
        <v>116</v>
      </c>
      <c r="C297" s="291" t="s">
        <v>25</v>
      </c>
      <c r="D297" s="808">
        <v>12669</v>
      </c>
      <c r="E297" s="808">
        <v>12669</v>
      </c>
      <c r="F297" s="808">
        <v>12669</v>
      </c>
      <c r="G297" s="808"/>
      <c r="H297" s="295"/>
      <c r="I297" s="295"/>
      <c r="J297" s="295"/>
      <c r="K297" s="295"/>
      <c r="L297" s="295"/>
      <c r="M297" s="295"/>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ht="1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6"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 outlineLevel="1">
      <c r="A301" s="522">
        <v>25</v>
      </c>
      <c r="B301" s="520" t="s">
        <v>117</v>
      </c>
      <c r="C301" s="291" t="s">
        <v>25</v>
      </c>
      <c r="D301" s="809"/>
      <c r="E301" s="809"/>
      <c r="F301" s="809"/>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ht="15" outlineLevel="1">
      <c r="B302" s="294" t="s">
        <v>289</v>
      </c>
      <c r="C302" s="291" t="s">
        <v>163</v>
      </c>
      <c r="D302" s="809"/>
      <c r="E302" s="809"/>
      <c r="F302" s="809"/>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ht="1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 outlineLevel="1">
      <c r="A304" s="522">
        <v>26</v>
      </c>
      <c r="B304" s="520" t="s">
        <v>118</v>
      </c>
      <c r="C304" s="291" t="s">
        <v>25</v>
      </c>
      <c r="D304" s="810">
        <v>46886</v>
      </c>
      <c r="E304" s="810">
        <v>46886</v>
      </c>
      <c r="F304" s="810">
        <v>46886</v>
      </c>
      <c r="G304" s="808"/>
      <c r="H304" s="808"/>
      <c r="I304" s="808"/>
      <c r="J304" s="808"/>
      <c r="K304" s="808"/>
      <c r="L304" s="808"/>
      <c r="M304" s="808"/>
      <c r="N304" s="808">
        <v>12</v>
      </c>
      <c r="O304" s="808">
        <v>1</v>
      </c>
      <c r="P304" s="808">
        <v>1</v>
      </c>
      <c r="Q304" s="808">
        <v>1</v>
      </c>
      <c r="R304" s="295"/>
      <c r="S304" s="295"/>
      <c r="T304" s="295"/>
      <c r="U304" s="295"/>
      <c r="V304" s="295"/>
      <c r="W304" s="295"/>
      <c r="X304" s="295"/>
      <c r="Y304" s="426"/>
      <c r="Z304" s="410">
        <v>0.96</v>
      </c>
      <c r="AA304" s="410">
        <v>0.04</v>
      </c>
      <c r="AB304" s="410"/>
      <c r="AC304" s="410"/>
      <c r="AD304" s="410"/>
      <c r="AE304" s="410"/>
      <c r="AF304" s="410"/>
      <c r="AG304" s="415"/>
      <c r="AH304" s="415"/>
      <c r="AI304" s="415"/>
      <c r="AJ304" s="415"/>
      <c r="AK304" s="415"/>
      <c r="AL304" s="415"/>
      <c r="AM304" s="296">
        <f>SUM(Y304:AL304)</f>
        <v>1</v>
      </c>
    </row>
    <row r="305" spans="1:39" ht="15" outlineLevel="1">
      <c r="B305" s="294" t="s">
        <v>289</v>
      </c>
      <c r="C305" s="291" t="s">
        <v>163</v>
      </c>
      <c r="D305" s="810">
        <v>1098</v>
      </c>
      <c r="E305" s="810">
        <v>1098</v>
      </c>
      <c r="F305" s="810">
        <v>1098</v>
      </c>
      <c r="G305" s="808"/>
      <c r="H305" s="808"/>
      <c r="I305" s="808"/>
      <c r="J305" s="808"/>
      <c r="K305" s="808"/>
      <c r="L305" s="808"/>
      <c r="M305" s="808"/>
      <c r="N305" s="808">
        <f>N304</f>
        <v>12</v>
      </c>
      <c r="O305" s="808"/>
      <c r="P305" s="808"/>
      <c r="Q305" s="808"/>
      <c r="R305" s="295"/>
      <c r="S305" s="295"/>
      <c r="T305" s="295"/>
      <c r="U305" s="295"/>
      <c r="V305" s="295"/>
      <c r="W305" s="295"/>
      <c r="X305" s="295"/>
      <c r="Y305" s="411">
        <f>Y304</f>
        <v>0</v>
      </c>
      <c r="Z305" s="411">
        <f t="shared" ref="Z305" si="811">Z304</f>
        <v>0.96</v>
      </c>
      <c r="AA305" s="411">
        <f t="shared" ref="AA305" si="812">AA304</f>
        <v>0.04</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ht="15" outlineLevel="1">
      <c r="B306" s="294"/>
      <c r="C306" s="291"/>
      <c r="D306" s="807"/>
      <c r="E306" s="807"/>
      <c r="F306" s="807"/>
      <c r="G306" s="807"/>
      <c r="H306" s="807"/>
      <c r="I306" s="807"/>
      <c r="J306" s="807"/>
      <c r="K306" s="807"/>
      <c r="L306" s="807"/>
      <c r="M306" s="807"/>
      <c r="N306" s="807"/>
      <c r="O306" s="807"/>
      <c r="P306" s="807"/>
      <c r="Q306" s="807"/>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811">
        <v>51275</v>
      </c>
      <c r="E307" s="811">
        <v>51275</v>
      </c>
      <c r="F307" s="811">
        <v>51275</v>
      </c>
      <c r="G307" s="808"/>
      <c r="H307" s="808"/>
      <c r="I307" s="808"/>
      <c r="J307" s="808"/>
      <c r="K307" s="808"/>
      <c r="L307" s="808"/>
      <c r="M307" s="808"/>
      <c r="N307" s="808">
        <v>12</v>
      </c>
      <c r="O307" s="808">
        <v>11</v>
      </c>
      <c r="P307" s="808">
        <v>11</v>
      </c>
      <c r="Q307" s="808">
        <v>11</v>
      </c>
      <c r="R307" s="295"/>
      <c r="S307" s="295"/>
      <c r="T307" s="295"/>
      <c r="U307" s="295"/>
      <c r="V307" s="295"/>
      <c r="W307" s="295"/>
      <c r="X307" s="295"/>
      <c r="Y307" s="426"/>
      <c r="Z307" s="410">
        <v>1</v>
      </c>
      <c r="AA307" s="410"/>
      <c r="AB307" s="410"/>
      <c r="AC307" s="410"/>
      <c r="AD307" s="410"/>
      <c r="AE307" s="410"/>
      <c r="AF307" s="410"/>
      <c r="AG307" s="415"/>
      <c r="AH307" s="415"/>
      <c r="AI307" s="415"/>
      <c r="AJ307" s="415"/>
      <c r="AK307" s="415"/>
      <c r="AL307" s="415"/>
      <c r="AM307" s="296">
        <f>SUM(Y307:AL307)</f>
        <v>1</v>
      </c>
    </row>
    <row r="308" spans="1:39" ht="15" outlineLevel="1">
      <c r="B308" s="294" t="s">
        <v>289</v>
      </c>
      <c r="C308" s="291" t="s">
        <v>163</v>
      </c>
      <c r="D308" s="811">
        <v>9496</v>
      </c>
      <c r="E308" s="811">
        <v>9496</v>
      </c>
      <c r="F308" s="811">
        <v>9496</v>
      </c>
      <c r="G308" s="808"/>
      <c r="H308" s="808"/>
      <c r="I308" s="808"/>
      <c r="J308" s="808"/>
      <c r="K308" s="808"/>
      <c r="L308" s="808"/>
      <c r="M308" s="808"/>
      <c r="N308" s="808">
        <f>N307</f>
        <v>12</v>
      </c>
      <c r="O308" s="808">
        <v>3</v>
      </c>
      <c r="P308" s="808">
        <v>3</v>
      </c>
      <c r="Q308" s="808">
        <v>3</v>
      </c>
      <c r="R308" s="295"/>
      <c r="S308" s="295"/>
      <c r="T308" s="295"/>
      <c r="U308" s="295"/>
      <c r="V308" s="295"/>
      <c r="W308" s="295"/>
      <c r="X308" s="295"/>
      <c r="Y308" s="411">
        <f>Y307</f>
        <v>0</v>
      </c>
      <c r="Z308" s="411">
        <f t="shared" ref="Z308" si="824">Z307</f>
        <v>1</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ht="1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t="15"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ht="1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ht="1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ht="1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ht="1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t="15"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ht="1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6"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ht="1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ht="1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ht="1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6"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ht="1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ht="1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ht="1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ht="1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ht="1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ht="1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0"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ht="1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ht="1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ht="1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ht="1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ht="1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ht="1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ht="1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ht="1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6">
      <c r="B378" s="327" t="s">
        <v>274</v>
      </c>
      <c r="C378" s="329"/>
      <c r="D378" s="329">
        <f>SUM(D221:D376)</f>
        <v>619200</v>
      </c>
      <c r="E378" s="329"/>
      <c r="F378" s="329"/>
      <c r="G378" s="329"/>
      <c r="H378" s="329"/>
      <c r="I378" s="329"/>
      <c r="J378" s="329"/>
      <c r="K378" s="329"/>
      <c r="L378" s="329"/>
      <c r="M378" s="329"/>
      <c r="N378" s="329"/>
      <c r="O378" s="329">
        <f>SUM(O221:O376)</f>
        <v>83</v>
      </c>
      <c r="P378" s="329"/>
      <c r="Q378" s="329"/>
      <c r="R378" s="329"/>
      <c r="S378" s="329"/>
      <c r="T378" s="329"/>
      <c r="U378" s="329"/>
      <c r="V378" s="329"/>
      <c r="W378" s="329"/>
      <c r="X378" s="329"/>
      <c r="Y378" s="329">
        <f>IF(Y219="kWh",SUMPRODUCT(D221:D376,Y221:Y376))</f>
        <v>510445</v>
      </c>
      <c r="Z378" s="329">
        <f>IF(Z219="kWh",SUMPRODUCT(D221:D376,Z221:Z376))</f>
        <v>106835.64</v>
      </c>
      <c r="AA378" s="329">
        <f>IF(AA219="kw",SUMPRODUCT(N221:N376,O221:O376,AA221:AA376),SUMPRODUCT(D221:D376,AA221:AA376))</f>
        <v>0.48</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6">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1.17E-2</v>
      </c>
      <c r="Z381" s="341">
        <f>HLOOKUP(Z$35,'3.  Distribution Rates'!$C$122:$P$133,8,FALSE)</f>
        <v>1.04E-2</v>
      </c>
      <c r="AA381" s="341">
        <f>HLOOKUP(AA$35,'3.  Distribution Rates'!$C$122:$P$133,8,FALSE)</f>
        <v>2.6450999999999998</v>
      </c>
      <c r="AB381" s="341">
        <f>HLOOKUP(AB$35,'3.  Distribution Rates'!$C$122:$P$133,8,FALSE)</f>
        <v>4.2422000000000004</v>
      </c>
      <c r="AC381" s="341">
        <f>HLOOKUP(AC$35,'3.  Distribution Rates'!$C$122:$P$133,8,FALSE)</f>
        <v>8.8000000000000005E-3</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8">
        <f>SUM(Y382:AL382)</f>
        <v>0</v>
      </c>
    </row>
    <row r="383" spans="1:42" ht="1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8">
        <f>SUM(Y383:AL383)</f>
        <v>0</v>
      </c>
    </row>
    <row r="384" spans="1:42" ht="1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1036.1403</v>
      </c>
      <c r="Z384" s="378">
        <f>'4.  2011-2014 LRAM'!Z397*Z381</f>
        <v>1605.76</v>
      </c>
      <c r="AA384" s="378">
        <f>'4.  2011-2014 LRAM'!AA397*AA381</f>
        <v>0</v>
      </c>
      <c r="AB384" s="378">
        <f>'4.  2011-2014 LRAM'!AB397*AB381</f>
        <v>11514.009552000001</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8">
        <f>SUM(Y384:AL384)</f>
        <v>14155.909852000001</v>
      </c>
    </row>
    <row r="385" spans="2:39" ht="1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2495.0133000000001</v>
      </c>
      <c r="Z385" s="378">
        <f>'4.  2011-2014 LRAM'!Z527*Z381</f>
        <v>483.4024</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8">
        <f t="shared" ref="AM385:AM387" si="1123">SUM(Y385:AL385)</f>
        <v>2978.4157</v>
      </c>
    </row>
    <row r="386" spans="2:39" ht="1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2352.0158999999999</v>
      </c>
      <c r="Z386" s="378">
        <f t="shared" si="1124"/>
        <v>780.55119999999999</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8">
        <f t="shared" si="1123"/>
        <v>3132.5670999999998</v>
      </c>
    </row>
    <row r="387" spans="2:39" ht="1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5972.2065000000002</v>
      </c>
      <c r="Z387" s="378">
        <f t="shared" ref="Z387:AL387" si="1125">Z378*Z381</f>
        <v>1111.0906559999999</v>
      </c>
      <c r="AA387" s="378">
        <f t="shared" si="1125"/>
        <v>1.2696479999999999</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8">
        <f t="shared" si="1123"/>
        <v>7084.566804000001</v>
      </c>
    </row>
    <row r="388" spans="2:39" ht="15.6">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11855.376</v>
      </c>
      <c r="Z388" s="346">
        <f t="shared" ref="Z388:AE388" si="1126">SUM(Z382:Z387)</f>
        <v>3980.8042559999999</v>
      </c>
      <c r="AA388" s="346">
        <f t="shared" si="1126"/>
        <v>1.2696479999999999</v>
      </c>
      <c r="AB388" s="346">
        <f t="shared" si="1126"/>
        <v>11514.009552000001</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27351.459456000004</v>
      </c>
    </row>
    <row r="389" spans="2:39" ht="15.6">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6">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27351.459456000004</v>
      </c>
    </row>
    <row r="391" spans="2:39" ht="1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510355</v>
      </c>
      <c r="Z392" s="291">
        <f>SUMPRODUCT(E221:E376,Z221:Z376)</f>
        <v>106835.64</v>
      </c>
      <c r="AA392" s="291">
        <f t="shared" ref="AA392:AL392" si="1130">IF(AA219="kw",SUMPRODUCT($N$221:$N$376,$P$221:$P$376,AA221:AA376),SUMPRODUCT($E$221:$E$376,AA221:AA376))</f>
        <v>0.48</v>
      </c>
      <c r="AB392" s="291">
        <f t="shared" si="1130"/>
        <v>0</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ht="1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510355</v>
      </c>
      <c r="Z393" s="291">
        <f>SUMPRODUCT(F221:F376,Z221:Z376)</f>
        <v>106835.64</v>
      </c>
      <c r="AA393" s="291">
        <f t="shared" ref="AA393:AL393" si="1131">IF(AA219="kw",SUMPRODUCT($N$221:$N$376,$Q$221:$Q$376,AA221:AA376),SUMPRODUCT($F$221:$F$376,AA221:AA376))</f>
        <v>0.48</v>
      </c>
      <c r="AB393" s="291">
        <f t="shared" si="1131"/>
        <v>0</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ht="1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1132">IF(AA219="kw",SUMPRODUCT($N$221:$N$376,$R$221:$R$376,AA221:AA376),SUMPRODUCT($G$221:$G$376,AA221:AA376))</f>
        <v>0</v>
      </c>
      <c r="AB394" s="291">
        <f t="shared" si="1132"/>
        <v>0</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ht="1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0</v>
      </c>
      <c r="Z395" s="326">
        <f>SUMPRODUCT(H221:H376,Z221:Z376)</f>
        <v>0</v>
      </c>
      <c r="AA395" s="326">
        <f t="shared" ref="AA395:AL395" si="1133">IF(AA219="kw",SUMPRODUCT($N$221:$N$376,$S$221:$S$376,AA221:AA376),SUMPRODUCT($H$221:$H$376,AA221:AA376))</f>
        <v>0</v>
      </c>
      <c r="AB395" s="326">
        <f t="shared" si="1133"/>
        <v>0</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585</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6">
      <c r="B399" s="280" t="s">
        <v>291</v>
      </c>
      <c r="C399" s="281"/>
      <c r="D399" s="589" t="s">
        <v>527</v>
      </c>
      <c r="E399" s="253"/>
      <c r="F399" s="591"/>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79" t="s">
        <v>211</v>
      </c>
      <c r="C400" s="881" t="s">
        <v>33</v>
      </c>
      <c r="D400" s="284" t="s">
        <v>422</v>
      </c>
      <c r="E400" s="883" t="s">
        <v>209</v>
      </c>
      <c r="F400" s="884"/>
      <c r="G400" s="884"/>
      <c r="H400" s="884"/>
      <c r="I400" s="884"/>
      <c r="J400" s="884"/>
      <c r="K400" s="884"/>
      <c r="L400" s="884"/>
      <c r="M400" s="885"/>
      <c r="N400" s="889" t="s">
        <v>213</v>
      </c>
      <c r="O400" s="284" t="s">
        <v>423</v>
      </c>
      <c r="P400" s="883" t="s">
        <v>212</v>
      </c>
      <c r="Q400" s="884"/>
      <c r="R400" s="884"/>
      <c r="S400" s="884"/>
      <c r="T400" s="884"/>
      <c r="U400" s="884"/>
      <c r="V400" s="884"/>
      <c r="W400" s="884"/>
      <c r="X400" s="885"/>
      <c r="Y400" s="886" t="s">
        <v>243</v>
      </c>
      <c r="Z400" s="887"/>
      <c r="AA400" s="887"/>
      <c r="AB400" s="887"/>
      <c r="AC400" s="887"/>
      <c r="AD400" s="887"/>
      <c r="AE400" s="887"/>
      <c r="AF400" s="887"/>
      <c r="AG400" s="887"/>
      <c r="AH400" s="887"/>
      <c r="AI400" s="887"/>
      <c r="AJ400" s="887"/>
      <c r="AK400" s="887"/>
      <c r="AL400" s="887"/>
      <c r="AM400" s="888"/>
    </row>
    <row r="401" spans="1:39" ht="61.5" customHeight="1">
      <c r="B401" s="880"/>
      <c r="C401" s="882"/>
      <c r="D401" s="285">
        <v>2017</v>
      </c>
      <c r="E401" s="285">
        <v>2018</v>
      </c>
      <c r="F401" s="285">
        <v>2019</v>
      </c>
      <c r="G401" s="285">
        <v>2020</v>
      </c>
      <c r="H401" s="285">
        <v>2021</v>
      </c>
      <c r="I401" s="285">
        <v>2022</v>
      </c>
      <c r="J401" s="285">
        <v>2023</v>
      </c>
      <c r="K401" s="285">
        <v>2024</v>
      </c>
      <c r="L401" s="285">
        <v>2025</v>
      </c>
      <c r="M401" s="285">
        <v>2026</v>
      </c>
      <c r="N401" s="890"/>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GS&gt;50kW</v>
      </c>
      <c r="AB401" s="285" t="str">
        <f>'1.  LRAMVA Summary'!G52</f>
        <v>Street Lighting</v>
      </c>
      <c r="AC401" s="285" t="str">
        <f>'1.  LRAMVA Summary'!H52</f>
        <v>Unmetered Scattered Load</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kWh</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6"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6"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6"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ht="1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 outlineLevel="1">
      <c r="A413" s="532">
        <v>4</v>
      </c>
      <c r="B413" s="520" t="s">
        <v>675</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ht="1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ht="1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6"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ht="1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ht="1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ht="1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ht="1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ht="1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6"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ht="1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0"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ht="1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ht="1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6"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ht="1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9"/>
    </row>
    <row r="449" spans="1:40" s="309" customFormat="1" ht="15.6"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0"/>
    </row>
    <row r="450" spans="1:40" ht="15"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ht="1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ht="1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6"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ht="1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ht="1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ht="1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6"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6"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6"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 outlineLevel="1">
      <c r="A471" s="532">
        <v>21</v>
      </c>
      <c r="B471" s="428" t="s">
        <v>113</v>
      </c>
      <c r="C471" s="291" t="s">
        <v>25</v>
      </c>
      <c r="D471" s="814">
        <v>823092</v>
      </c>
      <c r="E471" s="814">
        <v>630303</v>
      </c>
      <c r="F471" s="295"/>
      <c r="G471" s="295"/>
      <c r="H471" s="295"/>
      <c r="I471" s="295"/>
      <c r="J471" s="295"/>
      <c r="K471" s="295"/>
      <c r="L471" s="295"/>
      <c r="M471" s="295"/>
      <c r="N471" s="291"/>
      <c r="O471" s="295">
        <v>56</v>
      </c>
      <c r="P471" s="295">
        <v>56</v>
      </c>
      <c r="Q471" s="295"/>
      <c r="R471" s="295"/>
      <c r="S471" s="295"/>
      <c r="T471" s="295"/>
      <c r="U471" s="295"/>
      <c r="V471" s="295"/>
      <c r="W471" s="295"/>
      <c r="X471" s="295"/>
      <c r="Y471" s="410">
        <v>1</v>
      </c>
      <c r="Z471" s="410"/>
      <c r="AA471" s="410"/>
      <c r="AB471" s="410"/>
      <c r="AC471" s="410"/>
      <c r="AD471" s="410"/>
      <c r="AE471" s="410"/>
      <c r="AF471" s="410"/>
      <c r="AG471" s="410"/>
      <c r="AH471" s="410"/>
      <c r="AI471" s="410"/>
      <c r="AJ471" s="410"/>
      <c r="AK471" s="410"/>
      <c r="AL471" s="410"/>
      <c r="AM471" s="296">
        <f>SUM(Y471:AL471)</f>
        <v>1</v>
      </c>
    </row>
    <row r="472" spans="1:39" ht="15"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ht="1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35919</v>
      </c>
      <c r="E474" s="295">
        <v>35919</v>
      </c>
      <c r="F474" s="295"/>
      <c r="G474" s="295"/>
      <c r="H474" s="295"/>
      <c r="I474" s="295"/>
      <c r="J474" s="295"/>
      <c r="K474" s="295"/>
      <c r="L474" s="295"/>
      <c r="M474" s="295"/>
      <c r="N474" s="291"/>
      <c r="O474" s="295">
        <v>10</v>
      </c>
      <c r="P474" s="295">
        <v>10</v>
      </c>
      <c r="Q474" s="295"/>
      <c r="R474" s="295"/>
      <c r="S474" s="295"/>
      <c r="T474" s="295"/>
      <c r="U474" s="295"/>
      <c r="V474" s="295"/>
      <c r="W474" s="295"/>
      <c r="X474" s="295"/>
      <c r="Y474" s="410">
        <v>1</v>
      </c>
      <c r="Z474" s="410"/>
      <c r="AA474" s="410"/>
      <c r="AB474" s="410"/>
      <c r="AC474" s="410"/>
      <c r="AD474" s="410"/>
      <c r="AE474" s="410"/>
      <c r="AF474" s="410"/>
      <c r="AG474" s="410"/>
      <c r="AH474" s="410"/>
      <c r="AI474" s="410"/>
      <c r="AJ474" s="410"/>
      <c r="AK474" s="410"/>
      <c r="AL474" s="410"/>
      <c r="AM474" s="296">
        <f>SUM(Y474:AL474)</f>
        <v>1</v>
      </c>
    </row>
    <row r="475" spans="1:39" ht="15"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ht="1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ht="15"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ht="15"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 outlineLevel="1">
      <c r="A480" s="532">
        <v>24</v>
      </c>
      <c r="B480" s="428" t="s">
        <v>116</v>
      </c>
      <c r="C480" s="291" t="s">
        <v>25</v>
      </c>
      <c r="D480" s="295">
        <v>38245</v>
      </c>
      <c r="E480" s="295">
        <v>38245</v>
      </c>
      <c r="F480" s="295"/>
      <c r="G480" s="295"/>
      <c r="H480" s="295"/>
      <c r="I480" s="295"/>
      <c r="J480" s="295"/>
      <c r="K480" s="295"/>
      <c r="L480" s="295"/>
      <c r="M480" s="295"/>
      <c r="N480" s="291"/>
      <c r="O480" s="295">
        <v>5</v>
      </c>
      <c r="P480" s="295">
        <v>5</v>
      </c>
      <c r="Q480" s="295"/>
      <c r="R480" s="295"/>
      <c r="S480" s="295"/>
      <c r="T480" s="295"/>
      <c r="U480" s="295"/>
      <c r="V480" s="295"/>
      <c r="W480" s="295"/>
      <c r="X480" s="295"/>
      <c r="Y480" s="410">
        <v>1</v>
      </c>
      <c r="Z480" s="410"/>
      <c r="AA480" s="410"/>
      <c r="AB480" s="410"/>
      <c r="AC480" s="410"/>
      <c r="AD480" s="410"/>
      <c r="AE480" s="410"/>
      <c r="AF480" s="410"/>
      <c r="AG480" s="410"/>
      <c r="AH480" s="410"/>
      <c r="AI480" s="410"/>
      <c r="AJ480" s="410"/>
      <c r="AK480" s="410"/>
      <c r="AL480" s="410"/>
      <c r="AM480" s="296">
        <f>SUM(Y480:AL480)</f>
        <v>1</v>
      </c>
    </row>
    <row r="481" spans="1:39" ht="15"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ht="15"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6"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ht="15"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ht="15"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 outlineLevel="1">
      <c r="A487" s="532">
        <v>26</v>
      </c>
      <c r="B487" s="428" t="s">
        <v>118</v>
      </c>
      <c r="C487" s="291" t="s">
        <v>25</v>
      </c>
      <c r="D487" s="295">
        <v>243631</v>
      </c>
      <c r="E487" s="295">
        <v>256579</v>
      </c>
      <c r="F487" s="295"/>
      <c r="G487" s="295"/>
      <c r="H487" s="295"/>
      <c r="I487" s="295"/>
      <c r="J487" s="295"/>
      <c r="K487" s="295"/>
      <c r="L487" s="295"/>
      <c r="M487" s="295"/>
      <c r="N487" s="295">
        <v>12</v>
      </c>
      <c r="O487" s="295">
        <v>63</v>
      </c>
      <c r="P487" s="295">
        <v>63</v>
      </c>
      <c r="Q487" s="295"/>
      <c r="R487" s="295"/>
      <c r="S487" s="295"/>
      <c r="T487" s="295"/>
      <c r="U487" s="295"/>
      <c r="V487" s="295"/>
      <c r="W487" s="295"/>
      <c r="X487" s="295"/>
      <c r="Y487" s="426"/>
      <c r="Z487" s="410">
        <v>0.74</v>
      </c>
      <c r="AA487" s="410">
        <v>0.26</v>
      </c>
      <c r="AB487" s="410"/>
      <c r="AC487" s="410"/>
      <c r="AD487" s="410"/>
      <c r="AE487" s="410"/>
      <c r="AF487" s="415"/>
      <c r="AG487" s="415"/>
      <c r="AH487" s="415"/>
      <c r="AI487" s="415"/>
      <c r="AJ487" s="415"/>
      <c r="AK487" s="415"/>
      <c r="AL487" s="415"/>
      <c r="AM487" s="296">
        <f>SUM(Y487:AL487)</f>
        <v>1</v>
      </c>
    </row>
    <row r="488" spans="1:39" ht="15"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0.74</v>
      </c>
      <c r="AA488" s="411">
        <f t="shared" ref="AA488" si="1388">AA487</f>
        <v>0.26</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ht="15"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v>92962</v>
      </c>
      <c r="E490" s="295">
        <v>92962</v>
      </c>
      <c r="F490" s="295"/>
      <c r="G490" s="295"/>
      <c r="H490" s="295"/>
      <c r="I490" s="295"/>
      <c r="J490" s="295"/>
      <c r="K490" s="295"/>
      <c r="L490" s="295"/>
      <c r="M490" s="295"/>
      <c r="N490" s="295">
        <v>12</v>
      </c>
      <c r="O490" s="295">
        <v>12</v>
      </c>
      <c r="P490" s="295">
        <v>12</v>
      </c>
      <c r="Q490" s="295"/>
      <c r="R490" s="295"/>
      <c r="S490" s="295"/>
      <c r="T490" s="295"/>
      <c r="U490" s="295"/>
      <c r="V490" s="295"/>
      <c r="W490" s="295"/>
      <c r="X490" s="295"/>
      <c r="Y490" s="426"/>
      <c r="Z490" s="410">
        <v>1</v>
      </c>
      <c r="AA490" s="410"/>
      <c r="AB490" s="410"/>
      <c r="AC490" s="410"/>
      <c r="AD490" s="410"/>
      <c r="AE490" s="410"/>
      <c r="AF490" s="415"/>
      <c r="AG490" s="415"/>
      <c r="AH490" s="415"/>
      <c r="AI490" s="415"/>
      <c r="AJ490" s="415"/>
      <c r="AK490" s="415"/>
      <c r="AL490" s="415"/>
      <c r="AM490" s="296">
        <f>SUM(Y490:AL490)</f>
        <v>1</v>
      </c>
    </row>
    <row r="491" spans="1:39" ht="15"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1</v>
      </c>
      <c r="AA491" s="411">
        <f t="shared" ref="AA491" si="1401">AA490</f>
        <v>0</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ht="1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t="15"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ht="1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ht="1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ht="1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ht="15"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t="15"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ht="1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6"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ht="15"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ht="1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 outlineLevel="1">
      <c r="A515" s="532">
        <v>35</v>
      </c>
      <c r="B515" s="428" t="s">
        <v>127</v>
      </c>
      <c r="C515" s="291" t="s">
        <v>25</v>
      </c>
      <c r="D515" s="295">
        <v>39647</v>
      </c>
      <c r="E515" s="295">
        <v>39647</v>
      </c>
      <c r="F515" s="295"/>
      <c r="G515" s="295"/>
      <c r="H515" s="295"/>
      <c r="I515" s="295"/>
      <c r="J515" s="295"/>
      <c r="K515" s="295"/>
      <c r="L515" s="295"/>
      <c r="M515" s="295"/>
      <c r="N515" s="295">
        <v>0</v>
      </c>
      <c r="O515" s="295"/>
      <c r="P515" s="295"/>
      <c r="Q515" s="295"/>
      <c r="R515" s="295"/>
      <c r="S515" s="295"/>
      <c r="T515" s="295"/>
      <c r="U515" s="295"/>
      <c r="V515" s="295"/>
      <c r="W515" s="295"/>
      <c r="X515" s="295"/>
      <c r="Y515" s="426">
        <v>1</v>
      </c>
      <c r="Z515" s="410"/>
      <c r="AA515" s="410"/>
      <c r="AB515" s="410"/>
      <c r="AC515" s="410"/>
      <c r="AD515" s="410"/>
      <c r="AE515" s="410"/>
      <c r="AF515" s="415"/>
      <c r="AG515" s="415"/>
      <c r="AH515" s="415"/>
      <c r="AI515" s="415"/>
      <c r="AJ515" s="415"/>
      <c r="AK515" s="415"/>
      <c r="AL515" s="415"/>
      <c r="AM515" s="296">
        <f>SUM(Y515:AL515)</f>
        <v>1</v>
      </c>
    </row>
    <row r="516" spans="1:39" ht="15"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1</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ht="15"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6"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t="15"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ht="15"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ht="1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ht="1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ht="1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ht="1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ht="1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0"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ht="1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ht="1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ht="1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ht="1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ht="1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ht="1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ht="1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ht="15"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6">
      <c r="B561" s="327" t="s">
        <v>292</v>
      </c>
      <c r="C561" s="329"/>
      <c r="D561" s="329">
        <f>SUM(D404:D559)</f>
        <v>1273496</v>
      </c>
      <c r="E561" s="329"/>
      <c r="F561" s="329"/>
      <c r="G561" s="329"/>
      <c r="H561" s="329"/>
      <c r="I561" s="329"/>
      <c r="J561" s="329"/>
      <c r="K561" s="329"/>
      <c r="L561" s="329"/>
      <c r="M561" s="329"/>
      <c r="N561" s="329"/>
      <c r="O561" s="329">
        <f>SUM(O404:O559)</f>
        <v>146</v>
      </c>
      <c r="P561" s="329"/>
      <c r="Q561" s="329"/>
      <c r="R561" s="329"/>
      <c r="S561" s="329"/>
      <c r="T561" s="329"/>
      <c r="U561" s="329"/>
      <c r="V561" s="329"/>
      <c r="W561" s="329"/>
      <c r="X561" s="329"/>
      <c r="Y561" s="329">
        <f>IF(Y402="kWh",SUMPRODUCT(D404:D559,Y404:Y559))</f>
        <v>936903</v>
      </c>
      <c r="Z561" s="329">
        <f>IF(Z402="kWh",SUMPRODUCT(D404:D559,Z404:Z559))</f>
        <v>273248.94</v>
      </c>
      <c r="AA561" s="329">
        <f>IF(AA402="kw",SUMPRODUCT(N404:N559,O404:O559,AA404:AA559),SUMPRODUCT(D404:D559,AA404:AA559))</f>
        <v>196.56</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6">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8.3000000000000001E-3</v>
      </c>
      <c r="Z564" s="341">
        <f>HLOOKUP(Z$35,'3.  Distribution Rates'!$C$122:$P$133,9,FALSE)</f>
        <v>1.04E-2</v>
      </c>
      <c r="AA564" s="341">
        <f>HLOOKUP(AA$35,'3.  Distribution Rates'!$C$122:$P$133,9,FALSE)</f>
        <v>2.6892</v>
      </c>
      <c r="AB564" s="341">
        <f>HLOOKUP(AB$35,'3.  Distribution Rates'!$C$122:$P$133,9,FALSE)</f>
        <v>4.3129</v>
      </c>
      <c r="AC564" s="341">
        <f>HLOOKUP(AC$35,'3.  Distribution Rates'!$C$122:$P$133,9,FALSE)</f>
        <v>8.9999999999999993E-3</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8">
        <f t="shared" ref="AM565:AM571" si="1699">SUM(Y565:AL565)</f>
        <v>0</v>
      </c>
    </row>
    <row r="566" spans="2:39" ht="1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8">
        <f t="shared" si="1699"/>
        <v>0</v>
      </c>
    </row>
    <row r="567" spans="2:39" ht="1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660.46420000000001</v>
      </c>
      <c r="Z567" s="378">
        <f>'4.  2011-2014 LRAM'!Z398*Z564</f>
        <v>1200.854096</v>
      </c>
      <c r="AA567" s="378">
        <f>'4.  2011-2014 LRAM'!AA398*AA564</f>
        <v>0</v>
      </c>
      <c r="AB567" s="378">
        <f>'4.  2011-2014 LRAM'!AB398*AB564</f>
        <v>10771.208976</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8">
        <f t="shared" si="1699"/>
        <v>12632.527271999999</v>
      </c>
    </row>
    <row r="568" spans="2:39" ht="1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1760.4383</v>
      </c>
      <c r="Z568" s="378">
        <f>'4.  2011-2014 LRAM'!Z528*Z564</f>
        <v>436.0616</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8">
        <f t="shared" si="1699"/>
        <v>2196.4998999999998</v>
      </c>
    </row>
    <row r="569" spans="2:39" ht="1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1667.6609000000001</v>
      </c>
      <c r="Z569" s="378">
        <f t="shared" si="1700"/>
        <v>780.55119999999999</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8">
        <f t="shared" si="1699"/>
        <v>2448.2121000000002</v>
      </c>
    </row>
    <row r="570" spans="2:39" ht="1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4235.9465</v>
      </c>
      <c r="Z570" s="378">
        <f>Z392*Z564</f>
        <v>1111.0906559999999</v>
      </c>
      <c r="AA570" s="378">
        <f t="shared" ref="AA570:AL570" si="1701">AA392*AA564</f>
        <v>1.290816</v>
      </c>
      <c r="AB570" s="378">
        <f>AB392*AB564</f>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8">
        <f t="shared" si="1699"/>
        <v>5348.327972</v>
      </c>
    </row>
    <row r="571" spans="2:39" ht="1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7776.2948999999999</v>
      </c>
      <c r="Z571" s="378">
        <f t="shared" ref="Z571:AL571" si="1702">Z561*Z564</f>
        <v>2841.7889759999998</v>
      </c>
      <c r="AA571" s="378">
        <f t="shared" si="1702"/>
        <v>528.58915200000001</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8">
        <f t="shared" si="1699"/>
        <v>11146.673028000001</v>
      </c>
    </row>
    <row r="572" spans="2:39" ht="15.6">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16100.804800000002</v>
      </c>
      <c r="Z572" s="346">
        <f>SUM(Z565:Z571)</f>
        <v>6370.346528</v>
      </c>
      <c r="AA572" s="346">
        <f t="shared" ref="AA572:AE572" si="1703">SUM(AA565:AA571)</f>
        <v>529.87996799999996</v>
      </c>
      <c r="AB572" s="346">
        <f t="shared" si="1703"/>
        <v>10771.208976</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33772.240271999995</v>
      </c>
    </row>
    <row r="573" spans="2:39" ht="15.6">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05">Z562*Z564</f>
        <v>0</v>
      </c>
      <c r="AA573" s="347">
        <f t="shared" si="1705"/>
        <v>0</v>
      </c>
      <c r="AB573" s="347">
        <f t="shared" si="1705"/>
        <v>0</v>
      </c>
      <c r="AC573" s="347">
        <f t="shared" si="1705"/>
        <v>0</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0</v>
      </c>
    </row>
    <row r="574" spans="2:39" ht="15.6">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33772.240271999995</v>
      </c>
    </row>
    <row r="575" spans="2:39" ht="1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744114</v>
      </c>
      <c r="Z576" s="291">
        <f>SUMPRODUCT(E404:E559,Z404:Z559)</f>
        <v>282830.45999999996</v>
      </c>
      <c r="AA576" s="291">
        <f>IF(AA402="kw",SUMPRODUCT($N$404:$N$559,$P$404:$P$559,AA404:AA559),SUMPRODUCT($E$404:$E$559,AA404:AA559))</f>
        <v>196.56</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ht="1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0</v>
      </c>
      <c r="AA577" s="291">
        <f t="shared" ref="AA577:AL577" si="1708">IF(AA402="kw",SUMPRODUCT($N$404:$N$559,$Q$404:$Q$559,AA404:AA559),SUMPRODUCT($F$404:$F$559,AA404:AA559))</f>
        <v>0</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ht="1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0</v>
      </c>
      <c r="Z578" s="326">
        <f>SUMPRODUCT(G404:G559,Z404:Z559)</f>
        <v>0</v>
      </c>
      <c r="AA578" s="326">
        <f t="shared" ref="AA578:AL578" si="1709">IF(AA402="kw",SUMPRODUCT($N$404:$N$559,$R$404:$R$559,AA404:AA559),SUMPRODUCT($G$404:$G$559,AA404:AA559))</f>
        <v>0</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585</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6">
      <c r="B582" s="280" t="s">
        <v>309</v>
      </c>
      <c r="C582" s="281"/>
      <c r="D582" s="589" t="s">
        <v>527</v>
      </c>
      <c r="E582" s="253"/>
      <c r="F582" s="589"/>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79" t="s">
        <v>211</v>
      </c>
      <c r="C583" s="881" t="s">
        <v>33</v>
      </c>
      <c r="D583" s="284" t="s">
        <v>422</v>
      </c>
      <c r="E583" s="883" t="s">
        <v>209</v>
      </c>
      <c r="F583" s="884"/>
      <c r="G583" s="884"/>
      <c r="H583" s="884"/>
      <c r="I583" s="884"/>
      <c r="J583" s="884"/>
      <c r="K583" s="884"/>
      <c r="L583" s="884"/>
      <c r="M583" s="885"/>
      <c r="N583" s="889" t="s">
        <v>213</v>
      </c>
      <c r="O583" s="284" t="s">
        <v>423</v>
      </c>
      <c r="P583" s="883" t="s">
        <v>212</v>
      </c>
      <c r="Q583" s="884"/>
      <c r="R583" s="884"/>
      <c r="S583" s="884"/>
      <c r="T583" s="884"/>
      <c r="U583" s="884"/>
      <c r="V583" s="884"/>
      <c r="W583" s="884"/>
      <c r="X583" s="885"/>
      <c r="Y583" s="886" t="s">
        <v>243</v>
      </c>
      <c r="Z583" s="887"/>
      <c r="AA583" s="887"/>
      <c r="AB583" s="887"/>
      <c r="AC583" s="887"/>
      <c r="AD583" s="887"/>
      <c r="AE583" s="887"/>
      <c r="AF583" s="887"/>
      <c r="AG583" s="887"/>
      <c r="AH583" s="887"/>
      <c r="AI583" s="887"/>
      <c r="AJ583" s="887"/>
      <c r="AK583" s="887"/>
      <c r="AL583" s="887"/>
      <c r="AM583" s="888"/>
    </row>
    <row r="584" spans="1:39" ht="68.25" customHeight="1">
      <c r="B584" s="880"/>
      <c r="C584" s="882"/>
      <c r="D584" s="285">
        <v>2018</v>
      </c>
      <c r="E584" s="285">
        <v>2019</v>
      </c>
      <c r="F584" s="285">
        <v>2020</v>
      </c>
      <c r="G584" s="285">
        <v>2021</v>
      </c>
      <c r="H584" s="285">
        <v>2022</v>
      </c>
      <c r="I584" s="285">
        <v>2023</v>
      </c>
      <c r="J584" s="285">
        <v>2024</v>
      </c>
      <c r="K584" s="285">
        <v>2025</v>
      </c>
      <c r="L584" s="285">
        <v>2026</v>
      </c>
      <c r="M584" s="285">
        <v>2027</v>
      </c>
      <c r="N584" s="890"/>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GS&gt;50kW</v>
      </c>
      <c r="AB584" s="285" t="str">
        <f>'1.  LRAMVA Summary'!G52</f>
        <v>Street Lighting</v>
      </c>
      <c r="AC584" s="285" t="str">
        <f>'1.  LRAMVA Summary'!H52</f>
        <v>Unmetered Scattered Load</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kWh</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6"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6"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6"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ht="15"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 outlineLevel="1">
      <c r="A596" s="532">
        <v>4</v>
      </c>
      <c r="B596" s="520" t="s">
        <v>675</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ht="15"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ht="15"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6"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ht="15"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ht="15"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ht="15"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ht="15"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ht="15"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6"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ht="15"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0"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ht="15"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ht="15"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6"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29"/>
    </row>
    <row r="631" spans="1:40" ht="15"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29"/>
    </row>
    <row r="632" spans="1:40" s="309" customFormat="1" ht="15.6"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0"/>
    </row>
    <row r="633" spans="1:40" ht="15"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ht="15"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ht="15"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6"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ht="15"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ht="15"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ht="15"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6"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6"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6"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t="15"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ht="15"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t="15"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ht="15"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t="15"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ht="15"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t="15"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ht="15"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6"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ht="15"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 outlineLevel="1">
      <c r="A670" s="532">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t="15"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v>
      </c>
      <c r="AA671" s="411">
        <f t="shared" ref="AA671" si="1964">AA670</f>
        <v>0</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ht="15"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t="15"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v>
      </c>
      <c r="AA674" s="411">
        <f t="shared" ref="AA674" si="1977">AA673</f>
        <v>0</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ht="15"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ht="15"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ht="15"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ht="15"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ht="15"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ht="15"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6"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0</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ht="15"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ht="15"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ht="15"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6"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ht="15"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ht="15"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ht="15"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ht="15"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ht="15"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ht="15"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0"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ht="15"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ht="15"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ht="15"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ht="15"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ht="15"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ht="15"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0"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ht="15"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ht="15"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6">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6">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4.7999999999999996E-3</v>
      </c>
      <c r="Z747" s="341">
        <f>HLOOKUP(Z$35,'3.  Distribution Rates'!$C$122:$P$133,10,FALSE)</f>
        <v>1.04E-2</v>
      </c>
      <c r="AA747" s="341">
        <f>HLOOKUP(AA$35,'3.  Distribution Rates'!$C$122:$P$133,10,FALSE)</f>
        <v>2.7195999999999998</v>
      </c>
      <c r="AB747" s="341">
        <f>HLOOKUP(AB$35,'3.  Distribution Rates'!$C$122:$P$133,10,FALSE)</f>
        <v>4.3616999999999999</v>
      </c>
      <c r="AC747" s="341">
        <f>HLOOKUP(AC$35,'3.  Distribution Rates'!$C$122:$P$133,10,FALSE)</f>
        <v>9.1000000000000004E-3</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8">
        <f t="shared" ref="AM748:AM755" si="2275">SUM(Y748:AL748)</f>
        <v>0</v>
      </c>
      <c r="AN748" s="443"/>
    </row>
    <row r="749" spans="1:40" ht="1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8">
        <f t="shared" si="2275"/>
        <v>0</v>
      </c>
      <c r="AN749" s="443"/>
    </row>
    <row r="750" spans="1:40" ht="1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319.30559999999997</v>
      </c>
      <c r="Z750" s="378">
        <f>'4.  2011-2014 LRAM'!Z399*Z747</f>
        <v>1199.194256</v>
      </c>
      <c r="AA750" s="378">
        <f>'4.  2011-2014 LRAM'!AA399*AA747</f>
        <v>0</v>
      </c>
      <c r="AB750" s="378">
        <f>'4.  2011-2014 LRAM'!AB399*AB747</f>
        <v>10893.084048000001</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8">
        <f t="shared" si="2275"/>
        <v>12411.583904000001</v>
      </c>
      <c r="AN750" s="443"/>
    </row>
    <row r="751" spans="1:40" ht="1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972.32639999999992</v>
      </c>
      <c r="Z751" s="378">
        <f>'4.  2011-2014 LRAM'!Z529*Z747</f>
        <v>436.0616</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8">
        <f t="shared" si="2275"/>
        <v>1408.3879999999999</v>
      </c>
      <c r="AN751" s="443"/>
    </row>
    <row r="752" spans="1:40" ht="1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962.42879999999991</v>
      </c>
      <c r="Z752" s="378">
        <f t="shared" si="2276"/>
        <v>780.55119999999999</v>
      </c>
      <c r="AA752" s="378">
        <f t="shared" si="2276"/>
        <v>0</v>
      </c>
      <c r="AB752" s="378">
        <f t="shared" si="2276"/>
        <v>0</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8">
        <f t="shared" si="2275"/>
        <v>1742.98</v>
      </c>
      <c r="AN752" s="443"/>
    </row>
    <row r="753" spans="1:40" ht="1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2449.7039999999997</v>
      </c>
      <c r="Z753" s="378">
        <f t="shared" si="2277"/>
        <v>1111.0906559999999</v>
      </c>
      <c r="AA753" s="378">
        <f t="shared" si="2277"/>
        <v>1.3054079999999999</v>
      </c>
      <c r="AB753" s="378">
        <f t="shared" si="2277"/>
        <v>0</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8">
        <f t="shared" si="2275"/>
        <v>3562.1000639999997</v>
      </c>
      <c r="AN753" s="443"/>
    </row>
    <row r="754" spans="1:40" ht="1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3571.7471999999998</v>
      </c>
      <c r="Z754" s="378">
        <f t="shared" si="2278"/>
        <v>2941.4367839999995</v>
      </c>
      <c r="AA754" s="378">
        <f t="shared" si="2278"/>
        <v>534.56457599999999</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8">
        <f t="shared" si="2275"/>
        <v>7047.7485599999991</v>
      </c>
      <c r="AN754" s="443"/>
    </row>
    <row r="755" spans="1:40" ht="1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79">Z744*Z747</f>
        <v>0</v>
      </c>
      <c r="AA755" s="378">
        <f t="shared" si="2279"/>
        <v>0</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8">
        <f t="shared" si="2275"/>
        <v>0</v>
      </c>
      <c r="AN755" s="443"/>
    </row>
    <row r="756" spans="1:40" ht="15.6">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8275.5119999999988</v>
      </c>
      <c r="Z756" s="346">
        <f>SUM(Z748:Z755)</f>
        <v>6468.3344959999995</v>
      </c>
      <c r="AA756" s="346">
        <f t="shared" ref="AA756:AE756" si="2280">SUM(AA748:AA755)</f>
        <v>535.86998399999993</v>
      </c>
      <c r="AB756" s="346">
        <f t="shared" si="2280"/>
        <v>10893.084048000001</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26172.800528</v>
      </c>
      <c r="AN756" s="443"/>
    </row>
    <row r="757" spans="1:40" ht="15.6">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2">Z745*Z747</f>
        <v>0</v>
      </c>
      <c r="AA757" s="347">
        <f t="shared" si="2282"/>
        <v>0</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0</v>
      </c>
      <c r="AN757" s="443"/>
    </row>
    <row r="758" spans="1:40" ht="15.6">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26172.800528</v>
      </c>
      <c r="AN758" s="443"/>
    </row>
    <row r="759" spans="1:40" ht="1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4">IF(AA585="kw",SUMPRODUCT($N$587:$N$742,$P$587:$P$742,AA587:AA742),SUMPRODUCT($E$587:$E$742,AA587:AA742))</f>
        <v>0</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ht="1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5">IF(AA585="kw",SUMPRODUCT($N$587:$N$742,$Q$587:$Q$742,AA587:AA742),SUMPRODUCT($F$587:$F$742,AA587:AA742))</f>
        <v>0</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585</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6">
      <c r="B765" s="280" t="s">
        <v>327</v>
      </c>
      <c r="C765" s="281"/>
      <c r="D765" s="589" t="s">
        <v>527</v>
      </c>
      <c r="E765" s="253"/>
      <c r="F765" s="589"/>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79" t="s">
        <v>211</v>
      </c>
      <c r="C766" s="881" t="s">
        <v>33</v>
      </c>
      <c r="D766" s="284" t="s">
        <v>422</v>
      </c>
      <c r="E766" s="883" t="s">
        <v>209</v>
      </c>
      <c r="F766" s="884"/>
      <c r="G766" s="884"/>
      <c r="H766" s="884"/>
      <c r="I766" s="884"/>
      <c r="J766" s="884"/>
      <c r="K766" s="884"/>
      <c r="L766" s="884"/>
      <c r="M766" s="885"/>
      <c r="N766" s="889" t="s">
        <v>213</v>
      </c>
      <c r="O766" s="284" t="s">
        <v>423</v>
      </c>
      <c r="P766" s="883" t="s">
        <v>212</v>
      </c>
      <c r="Q766" s="884"/>
      <c r="R766" s="884"/>
      <c r="S766" s="884"/>
      <c r="T766" s="884"/>
      <c r="U766" s="884"/>
      <c r="V766" s="884"/>
      <c r="W766" s="884"/>
      <c r="X766" s="885"/>
      <c r="Y766" s="886" t="s">
        <v>243</v>
      </c>
      <c r="Z766" s="887"/>
      <c r="AA766" s="887"/>
      <c r="AB766" s="887"/>
      <c r="AC766" s="887"/>
      <c r="AD766" s="887"/>
      <c r="AE766" s="887"/>
      <c r="AF766" s="887"/>
      <c r="AG766" s="887"/>
      <c r="AH766" s="887"/>
      <c r="AI766" s="887"/>
      <c r="AJ766" s="887"/>
      <c r="AK766" s="887"/>
      <c r="AL766" s="887"/>
      <c r="AM766" s="888"/>
    </row>
    <row r="767" spans="1:40" ht="65.25" customHeight="1">
      <c r="B767" s="880"/>
      <c r="C767" s="882"/>
      <c r="D767" s="285">
        <v>2019</v>
      </c>
      <c r="E767" s="285">
        <v>2020</v>
      </c>
      <c r="F767" s="285">
        <v>2021</v>
      </c>
      <c r="G767" s="285">
        <v>2022</v>
      </c>
      <c r="H767" s="285">
        <v>2023</v>
      </c>
      <c r="I767" s="285">
        <v>2024</v>
      </c>
      <c r="J767" s="285">
        <v>2025</v>
      </c>
      <c r="K767" s="285">
        <v>2026</v>
      </c>
      <c r="L767" s="285">
        <v>2027</v>
      </c>
      <c r="M767" s="285">
        <v>2028</v>
      </c>
      <c r="N767" s="890"/>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GS&gt;50kW</v>
      </c>
      <c r="AB767" s="285" t="str">
        <f>'1.  LRAMVA Summary'!G52</f>
        <v>Street Lighting</v>
      </c>
      <c r="AC767" s="285" t="str">
        <f>'1.  LRAMVA Summary'!H52</f>
        <v>Unmetered Scattered Load</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kWh</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6"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6"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6"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ht="15"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 outlineLevel="1">
      <c r="A779" s="532">
        <v>4</v>
      </c>
      <c r="B779" s="520" t="s">
        <v>675</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ht="15"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ht="15"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6"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ht="15"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ht="15"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ht="15"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ht="15"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ht="15"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6"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ht="15"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0"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ht="15"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ht="15"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6"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ht="15"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6"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ht="15"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ht="15"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6"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ht="15"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ht="15"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ht="15"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6"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6"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6"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ht="15"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ht="15"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ht="15"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ht="15"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6"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ht="15"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v>
      </c>
      <c r="AA854" s="411">
        <f t="shared" ref="AA854" si="2540">AA853</f>
        <v>0</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ht="15"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ht="15"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ht="15"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ht="15"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ht="15"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ht="15"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ht="15"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6"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ht="15"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ht="15"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ht="15"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6"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ht="15"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ht="15"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ht="15"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ht="15"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ht="15"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ht="15"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0"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ht="15"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ht="15"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ht="15"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ht="15"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ht="15"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ht="15"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ht="15"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ht="15"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6">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6">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1.1999999999999999E-3</v>
      </c>
      <c r="Z930" s="341">
        <f>HLOOKUP(Z$35,'3.  Distribution Rates'!$C$122:$P$133,11,FALSE)</f>
        <v>1.0500000000000001E-2</v>
      </c>
      <c r="AA930" s="341">
        <f>HLOOKUP(AA$35,'3.  Distribution Rates'!$C$122:$P$133,11,FALSE)</f>
        <v>2.7494999999999998</v>
      </c>
      <c r="AB930" s="341">
        <f>HLOOKUP(AB$35,'3.  Distribution Rates'!$C$122:$P$133,11,FALSE)</f>
        <v>4.4097</v>
      </c>
      <c r="AC930" s="341">
        <f>HLOOKUP(AC$35,'3.  Distribution Rates'!$C$122:$P$133,11,FALSE)</f>
        <v>9.1999999999999998E-3</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8">
        <f t="shared" ref="AM931:AM939" si="2850">SUM(Y931:AL931)</f>
        <v>0</v>
      </c>
    </row>
    <row r="932" spans="2:39" ht="1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8">
        <f t="shared" si="2850"/>
        <v>0</v>
      </c>
    </row>
    <row r="933" spans="2:39" ht="1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8">
        <f t="shared" si="2850"/>
        <v>0</v>
      </c>
    </row>
    <row r="934" spans="2:39" ht="1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8">
        <f t="shared" si="2850"/>
        <v>0</v>
      </c>
    </row>
    <row r="935" spans="2:39" ht="1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0</v>
      </c>
      <c r="Z935" s="378">
        <f t="shared" si="2851"/>
        <v>0</v>
      </c>
      <c r="AA935" s="378">
        <f t="shared" si="2851"/>
        <v>0</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8">
        <f t="shared" si="2850"/>
        <v>0</v>
      </c>
    </row>
    <row r="936" spans="2:39" ht="1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0</v>
      </c>
      <c r="Z936" s="378">
        <f t="shared" si="2852"/>
        <v>0</v>
      </c>
      <c r="AA936" s="378">
        <f t="shared" si="2852"/>
        <v>0</v>
      </c>
      <c r="AB936" s="378">
        <f t="shared" si="2852"/>
        <v>0</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8">
        <f t="shared" si="2850"/>
        <v>0</v>
      </c>
    </row>
    <row r="937" spans="2:39" ht="1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0</v>
      </c>
      <c r="Z937" s="378">
        <f t="shared" si="2853"/>
        <v>0</v>
      </c>
      <c r="AA937" s="378">
        <f t="shared" si="2853"/>
        <v>0</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8">
        <f t="shared" si="2850"/>
        <v>0</v>
      </c>
    </row>
    <row r="938" spans="2:39" ht="1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0</v>
      </c>
      <c r="Z938" s="378">
        <f t="shared" si="2854"/>
        <v>0</v>
      </c>
      <c r="AA938" s="378">
        <f t="shared" si="2854"/>
        <v>0</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8">
        <f t="shared" si="2850"/>
        <v>0</v>
      </c>
    </row>
    <row r="939" spans="2:39" ht="1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5">Z927*Z930</f>
        <v>0</v>
      </c>
      <c r="AA939" s="378">
        <f t="shared" si="2855"/>
        <v>0</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8">
        <f t="shared" si="2850"/>
        <v>0</v>
      </c>
    </row>
    <row r="940" spans="2:39" ht="15.6">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6">SUM(Z931:Z939)</f>
        <v>0</v>
      </c>
      <c r="AA940" s="346">
        <f t="shared" si="2856"/>
        <v>0</v>
      </c>
      <c r="AB940" s="346">
        <f t="shared" si="2856"/>
        <v>0</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0</v>
      </c>
    </row>
    <row r="941" spans="2:39" ht="15.6">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58">Z928*Z930</f>
        <v>0</v>
      </c>
      <c r="AA941" s="347">
        <f t="shared" si="2858"/>
        <v>0</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0</v>
      </c>
    </row>
    <row r="942" spans="2:39" ht="15.6">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ht="1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0">IF(AA768="kw",SUMPRODUCT($N$770:$N$925,$P$770:$P$925,AA770:AA925),SUMPRODUCT($E$770:$E$925,AA770:AA925))</f>
        <v>0</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585</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6">
      <c r="B948" s="280" t="s">
        <v>341</v>
      </c>
      <c r="C948" s="281"/>
      <c r="D948" s="589" t="s">
        <v>527</v>
      </c>
      <c r="E948" s="253"/>
      <c r="F948" s="589"/>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79" t="s">
        <v>211</v>
      </c>
      <c r="C949" s="881" t="s">
        <v>33</v>
      </c>
      <c r="D949" s="284" t="s">
        <v>422</v>
      </c>
      <c r="E949" s="883" t="s">
        <v>209</v>
      </c>
      <c r="F949" s="884"/>
      <c r="G949" s="884"/>
      <c r="H949" s="884"/>
      <c r="I949" s="884"/>
      <c r="J949" s="884"/>
      <c r="K949" s="884"/>
      <c r="L949" s="884"/>
      <c r="M949" s="885"/>
      <c r="N949" s="889" t="s">
        <v>213</v>
      </c>
      <c r="O949" s="284" t="s">
        <v>423</v>
      </c>
      <c r="P949" s="883" t="s">
        <v>212</v>
      </c>
      <c r="Q949" s="884"/>
      <c r="R949" s="884"/>
      <c r="S949" s="884"/>
      <c r="T949" s="884"/>
      <c r="U949" s="884"/>
      <c r="V949" s="884"/>
      <c r="W949" s="884"/>
      <c r="X949" s="885"/>
      <c r="Y949" s="886" t="s">
        <v>243</v>
      </c>
      <c r="Z949" s="887"/>
      <c r="AA949" s="887"/>
      <c r="AB949" s="887"/>
      <c r="AC949" s="887"/>
      <c r="AD949" s="887"/>
      <c r="AE949" s="887"/>
      <c r="AF949" s="887"/>
      <c r="AG949" s="887"/>
      <c r="AH949" s="887"/>
      <c r="AI949" s="887"/>
      <c r="AJ949" s="887"/>
      <c r="AK949" s="887"/>
      <c r="AL949" s="887"/>
      <c r="AM949" s="888"/>
    </row>
    <row r="950" spans="1:39" ht="65.25" customHeight="1">
      <c r="B950" s="880"/>
      <c r="C950" s="882"/>
      <c r="D950" s="285">
        <v>2020</v>
      </c>
      <c r="E950" s="285">
        <v>2021</v>
      </c>
      <c r="F950" s="285">
        <v>2022</v>
      </c>
      <c r="G950" s="285">
        <v>2023</v>
      </c>
      <c r="H950" s="285">
        <v>2024</v>
      </c>
      <c r="I950" s="285">
        <v>2025</v>
      </c>
      <c r="J950" s="285">
        <v>2026</v>
      </c>
      <c r="K950" s="285">
        <v>2027</v>
      </c>
      <c r="L950" s="285">
        <v>2028</v>
      </c>
      <c r="M950" s="285">
        <v>2029</v>
      </c>
      <c r="N950" s="890"/>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GS&gt;50kW</v>
      </c>
      <c r="AB950" s="285" t="str">
        <f>'1.  LRAMVA Summary'!G52</f>
        <v>Street Lighting</v>
      </c>
      <c r="AC950" s="285" t="str">
        <f>'1.  LRAMVA Summary'!H52</f>
        <v>Unmetered Scattered Load</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kWh</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675</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6"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9"/>
    </row>
    <row r="998" spans="1:40" s="309" customFormat="1" ht="15.6"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0"/>
    </row>
    <row r="999" spans="1:40" ht="15"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1">
        <f>SUM(Y999:AL999)</f>
        <v>0</v>
      </c>
      <c r="AN999" s="629"/>
    </row>
    <row r="1000" spans="1:40" ht="15"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t="15"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t="15"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6"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t="15"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t="15"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t="15"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6"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6"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6"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5"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6"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6">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8">
        <f t="shared" ref="AM1114:AM1123" si="3424">SUM(Y1114:AL1114)</f>
        <v>0</v>
      </c>
    </row>
    <row r="1115" spans="1:39" ht="15">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8">
        <f t="shared" si="3424"/>
        <v>0</v>
      </c>
    </row>
    <row r="1116" spans="1:39" ht="15">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8">
        <f t="shared" si="3424"/>
        <v>0</v>
      </c>
    </row>
    <row r="1117" spans="1:39" ht="15">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8">
        <f t="shared" si="3424"/>
        <v>0</v>
      </c>
    </row>
    <row r="1118" spans="1:39" ht="15">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8">
        <f t="shared" si="3424"/>
        <v>0</v>
      </c>
    </row>
    <row r="1119" spans="1:39" ht="15">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0</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8">
        <f t="shared" si="3424"/>
        <v>0</v>
      </c>
    </row>
    <row r="1120" spans="1:39" ht="15">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0</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8">
        <f t="shared" si="3424"/>
        <v>0</v>
      </c>
    </row>
    <row r="1121" spans="2:39" ht="15">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0</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8">
        <f t="shared" si="3424"/>
        <v>0</v>
      </c>
    </row>
    <row r="1122" spans="2:39" ht="15">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8">
        <f t="shared" si="3424"/>
        <v>0</v>
      </c>
    </row>
    <row r="1123" spans="2:39" ht="15">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8">
        <f t="shared" si="3424"/>
        <v>0</v>
      </c>
    </row>
    <row r="1124" spans="2:39" ht="15.6">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0</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0</v>
      </c>
    </row>
    <row r="1125" spans="2:39" ht="15.6">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6">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ht="1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585</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9" t="s">
        <v>527</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37"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147" zoomScale="90" zoomScaleNormal="90" workbookViewId="0">
      <selection activeCell="B167" sqref="B167"/>
    </sheetView>
  </sheetViews>
  <sheetFormatPr defaultColWidth="9.109375" defaultRowHeight="14.4"/>
  <cols>
    <col min="1" max="1" width="4.5546875" style="12" customWidth="1"/>
    <col min="2" max="2" width="19.5546875" style="11" customWidth="1"/>
    <col min="3" max="3" width="30.88671875" style="12" customWidth="1"/>
    <col min="4" max="4" width="5" style="12" customWidth="1"/>
    <col min="5" max="5" width="14.33203125" style="12" customWidth="1"/>
    <col min="6" max="6" width="15.109375" style="12" customWidth="1"/>
    <col min="7" max="7" width="11.44140625" style="12" customWidth="1"/>
    <col min="8" max="8" width="13" style="18" customWidth="1"/>
    <col min="9" max="10" width="14" style="12" customWidth="1"/>
    <col min="11" max="11" width="18" style="12" customWidth="1"/>
    <col min="12" max="12" width="19.109375" style="12" customWidth="1"/>
    <col min="13" max="13" width="16.88671875" style="12" customWidth="1"/>
    <col min="14" max="14" width="16" style="12" customWidth="1"/>
    <col min="15" max="16" width="14.5546875" style="12" customWidth="1"/>
    <col min="17" max="17" width="14" style="12" customWidth="1"/>
    <col min="18" max="18" width="15.5546875" style="12" customWidth="1"/>
    <col min="19" max="19" width="14.109375" style="12" customWidth="1"/>
    <col min="20" max="22" width="15" style="12" customWidth="1"/>
    <col min="23" max="23" width="13.44140625" style="12" customWidth="1"/>
    <col min="24" max="24" width="4.109375" style="12" customWidth="1"/>
    <col min="25" max="16384" width="9.1093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552</v>
      </c>
      <c r="D6" s="177"/>
      <c r="E6" s="177"/>
      <c r="F6" s="17"/>
      <c r="G6" s="177"/>
      <c r="H6" s="178"/>
      <c r="I6" s="179"/>
      <c r="J6" s="179"/>
      <c r="K6" s="179"/>
      <c r="L6" s="179"/>
      <c r="M6" s="179"/>
      <c r="N6" s="177"/>
      <c r="O6" s="177"/>
      <c r="P6" s="177"/>
      <c r="Q6" s="177"/>
      <c r="R6" s="177"/>
      <c r="S6" s="177"/>
      <c r="T6" s="177"/>
      <c r="U6" s="177"/>
      <c r="V6" s="177"/>
      <c r="W6" s="17"/>
    </row>
    <row r="7" spans="1:28" s="9" customFormat="1" ht="25.2"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92" t="s">
        <v>662</v>
      </c>
      <c r="D8" s="892"/>
      <c r="E8" s="892"/>
      <c r="F8" s="892"/>
      <c r="G8" s="892"/>
      <c r="H8" s="892"/>
      <c r="I8" s="892"/>
      <c r="J8" s="892"/>
      <c r="K8" s="892"/>
      <c r="L8" s="892"/>
      <c r="M8" s="892"/>
      <c r="N8" s="892"/>
      <c r="O8" s="892"/>
      <c r="P8" s="892"/>
      <c r="Q8" s="892"/>
      <c r="R8" s="892"/>
      <c r="S8" s="892"/>
      <c r="T8" s="105"/>
      <c r="U8" s="105"/>
      <c r="V8" s="105"/>
      <c r="W8" s="105"/>
    </row>
    <row r="9" spans="1:28" s="9" customFormat="1" ht="46.95" customHeight="1">
      <c r="B9" s="55"/>
      <c r="C9" s="854" t="s">
        <v>673</v>
      </c>
      <c r="D9" s="854"/>
      <c r="E9" s="854"/>
      <c r="F9" s="854"/>
      <c r="G9" s="854"/>
      <c r="H9" s="854"/>
      <c r="I9" s="854"/>
      <c r="J9" s="854"/>
      <c r="K9" s="854"/>
      <c r="L9" s="854"/>
      <c r="M9" s="854"/>
      <c r="N9" s="854"/>
      <c r="O9" s="854"/>
      <c r="P9" s="854"/>
      <c r="Q9" s="854"/>
      <c r="R9" s="854"/>
      <c r="S9" s="854"/>
      <c r="T9" s="105"/>
      <c r="U9" s="105"/>
      <c r="V9" s="105"/>
      <c r="W9" s="105"/>
    </row>
    <row r="10" spans="1:28" s="9" customFormat="1" ht="37.950000000000003" customHeight="1">
      <c r="B10" s="88"/>
      <c r="C10" s="870" t="s">
        <v>674</v>
      </c>
      <c r="D10" s="854"/>
      <c r="E10" s="854"/>
      <c r="F10" s="854"/>
      <c r="G10" s="854"/>
      <c r="H10" s="854"/>
      <c r="I10" s="854"/>
      <c r="J10" s="854"/>
      <c r="K10" s="854"/>
      <c r="L10" s="854"/>
      <c r="M10" s="854"/>
      <c r="N10" s="854"/>
      <c r="O10" s="854"/>
      <c r="P10" s="854"/>
      <c r="Q10" s="854"/>
      <c r="R10" s="854"/>
      <c r="S10" s="854"/>
      <c r="T10" s="88"/>
      <c r="U10" s="88"/>
      <c r="V10" s="88"/>
    </row>
    <row r="11" spans="1:28" ht="32.4"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91" t="s">
        <v>235</v>
      </c>
      <c r="C12" s="891"/>
      <c r="D12" s="181"/>
      <c r="E12" s="182" t="s">
        <v>236</v>
      </c>
      <c r="F12" s="51"/>
      <c r="G12" s="51"/>
      <c r="H12" s="44"/>
      <c r="I12" s="51"/>
      <c r="K12" s="591" t="s">
        <v>536</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GS&gt;50kW</v>
      </c>
      <c r="L14" s="204" t="str">
        <f>'1.  LRAMVA Summary'!G52</f>
        <v>Street Lighting</v>
      </c>
      <c r="M14" s="204" t="str">
        <f>'1.  LRAMVA Summary'!H52</f>
        <v>Unmetered Scattered Load</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29">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9">
        <v>2.1700000000000001E-2</v>
      </c>
      <c r="D46" s="206"/>
      <c r="E46" s="214">
        <v>41306</v>
      </c>
      <c r="F46" s="214" t="s">
        <v>179</v>
      </c>
      <c r="G46" s="215" t="s">
        <v>65</v>
      </c>
      <c r="H46" s="229">
        <f>C$23/12</f>
        <v>1.225E-3</v>
      </c>
      <c r="I46" s="230">
        <f>(SUM('1.  LRAMVA Summary'!D$54:D$59)+SUM('1.  LRAMVA Summary'!D$60:D$61)*(MONTH($E46)-1)/12)*$H46</f>
        <v>9.3989023333333338E-2</v>
      </c>
      <c r="J46" s="230">
        <f>(SUM('1.  LRAMVA Summary'!E$54:E$59)+SUM('1.  LRAMVA Summary'!E$60:E$61)*(MONTH($E46)-1)/12)*$H46</f>
        <v>0.13851545400000001</v>
      </c>
      <c r="K46" s="230">
        <f>(SUM('1.  LRAMVA Summary'!F$54:F$59)+SUM('1.  LRAMVA Summary'!F$60:F$61)*(MONTH($E46)-1)/12)*$H46</f>
        <v>0</v>
      </c>
      <c r="L46" s="230">
        <f>(SUM('1.  LRAMVA Summary'!G$54:G$59)+SUM('1.  LRAMVA Summary'!G$60:G$61)*(MONTH($E46)-1)/12)*$H46</f>
        <v>0.85037466500000003</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1.0828791423333333</v>
      </c>
    </row>
    <row r="47" spans="2:23" s="9" customFormat="1">
      <c r="B47" s="213" t="s">
        <v>85</v>
      </c>
      <c r="C47" s="745">
        <v>2.4500000000000001E-2</v>
      </c>
      <c r="D47" s="206"/>
      <c r="E47" s="214">
        <v>41334</v>
      </c>
      <c r="F47" s="214" t="s">
        <v>179</v>
      </c>
      <c r="G47" s="215" t="s">
        <v>65</v>
      </c>
      <c r="H47" s="229">
        <f>C$23/12</f>
        <v>1.225E-3</v>
      </c>
      <c r="I47" s="230">
        <f>(SUM('1.  LRAMVA Summary'!D$54:D$59)+SUM('1.  LRAMVA Summary'!D$60:D$61)*(MONTH($E47)-1)/12)*$H47</f>
        <v>0.18797804666666668</v>
      </c>
      <c r="J47" s="230">
        <f>(SUM('1.  LRAMVA Summary'!E$54:E$59)+SUM('1.  LRAMVA Summary'!E$60:E$61)*(MONTH($E47)-1)/12)*$H47</f>
        <v>0.27703090800000002</v>
      </c>
      <c r="K47" s="230">
        <f>(SUM('1.  LRAMVA Summary'!F$54:F$59)+SUM('1.  LRAMVA Summary'!F$60:F$61)*(MONTH($E47)-1)/12)*$H47</f>
        <v>0</v>
      </c>
      <c r="L47" s="230">
        <f>(SUM('1.  LRAMVA Summary'!G$54:G$59)+SUM('1.  LRAMVA Summary'!G$60:G$61)*(MONTH($E47)-1)/12)*$H47</f>
        <v>1.7007493300000001</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2.1657582846666665</v>
      </c>
    </row>
    <row r="48" spans="2:23" s="9" customFormat="1">
      <c r="B48" s="213" t="s">
        <v>86</v>
      </c>
      <c r="C48" s="745">
        <v>2.18E-2</v>
      </c>
      <c r="D48" s="206"/>
      <c r="E48" s="214">
        <v>41365</v>
      </c>
      <c r="F48" s="214" t="s">
        <v>179</v>
      </c>
      <c r="G48" s="215" t="s">
        <v>66</v>
      </c>
      <c r="H48" s="232">
        <f>C$24/12</f>
        <v>1.225E-3</v>
      </c>
      <c r="I48" s="230">
        <f>(SUM('1.  LRAMVA Summary'!D$54:D$59)+SUM('1.  LRAMVA Summary'!D$60:D$61)*(MONTH($E48)-1)/12)*$H48</f>
        <v>0.28196706999999999</v>
      </c>
      <c r="J48" s="230">
        <f>(SUM('1.  LRAMVA Summary'!E$54:E$59)+SUM('1.  LRAMVA Summary'!E$60:E$61)*(MONTH($E48)-1)/12)*$H48</f>
        <v>0.41554636200000006</v>
      </c>
      <c r="K48" s="230">
        <f>(SUM('1.  LRAMVA Summary'!F$54:F$59)+SUM('1.  LRAMVA Summary'!F$60:F$61)*(MONTH($E48)-1)/12)*$H48</f>
        <v>0</v>
      </c>
      <c r="L48" s="230">
        <f>(SUM('1.  LRAMVA Summary'!G$54:G$59)+SUM('1.  LRAMVA Summary'!G$60:G$61)*(MONTH($E48)-1)/12)*$H48</f>
        <v>2.5511239950000002</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3.2486374270000002</v>
      </c>
    </row>
    <row r="49" spans="1:23" s="9" customFormat="1">
      <c r="B49" s="213" t="s">
        <v>87</v>
      </c>
      <c r="C49" s="745">
        <v>2.18E-2</v>
      </c>
      <c r="D49" s="206"/>
      <c r="E49" s="214">
        <v>41395</v>
      </c>
      <c r="F49" s="214" t="s">
        <v>179</v>
      </c>
      <c r="G49" s="215" t="s">
        <v>66</v>
      </c>
      <c r="H49" s="229">
        <f>C$24/12</f>
        <v>1.225E-3</v>
      </c>
      <c r="I49" s="230">
        <f>(SUM('1.  LRAMVA Summary'!D$54:D$59)+SUM('1.  LRAMVA Summary'!D$60:D$61)*(MONTH($E49)-1)/12)*$H49</f>
        <v>0.37595609333333335</v>
      </c>
      <c r="J49" s="230">
        <f>(SUM('1.  LRAMVA Summary'!E$54:E$59)+SUM('1.  LRAMVA Summary'!E$60:E$61)*(MONTH($E49)-1)/12)*$H49</f>
        <v>0.55406181600000004</v>
      </c>
      <c r="K49" s="230">
        <f>(SUM('1.  LRAMVA Summary'!F$54:F$59)+SUM('1.  LRAMVA Summary'!F$60:F$61)*(MONTH($E49)-1)/12)*$H49</f>
        <v>0</v>
      </c>
      <c r="L49" s="230">
        <f>(SUM('1.  LRAMVA Summary'!G$54:G$59)+SUM('1.  LRAMVA Summary'!G$60:G$61)*(MONTH($E49)-1)/12)*$H49</f>
        <v>3.4014986600000001</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4.3315165693333331</v>
      </c>
    </row>
    <row r="50" spans="1:23" s="9" customFormat="1">
      <c r="B50" s="213" t="s">
        <v>88</v>
      </c>
      <c r="C50" s="745">
        <v>2.18E-2</v>
      </c>
      <c r="D50" s="206"/>
      <c r="E50" s="214">
        <v>41426</v>
      </c>
      <c r="F50" s="214" t="s">
        <v>179</v>
      </c>
      <c r="G50" s="215" t="s">
        <v>66</v>
      </c>
      <c r="H50" s="229">
        <f>C$24/12</f>
        <v>1.225E-3</v>
      </c>
      <c r="I50" s="230">
        <f>(SUM('1.  LRAMVA Summary'!D$54:D$59)+SUM('1.  LRAMVA Summary'!D$60:D$61)*(MONTH($E50)-1)/12)*$H50</f>
        <v>0.46994511666666672</v>
      </c>
      <c r="J50" s="230">
        <f>(SUM('1.  LRAMVA Summary'!E$54:E$59)+SUM('1.  LRAMVA Summary'!E$60:E$61)*(MONTH($E50)-1)/12)*$H50</f>
        <v>0.69257727000000013</v>
      </c>
      <c r="K50" s="230">
        <f>(SUM('1.  LRAMVA Summary'!F$54:F$59)+SUM('1.  LRAMVA Summary'!F$60:F$61)*(MONTH($E50)-1)/12)*$H50</f>
        <v>0</v>
      </c>
      <c r="L50" s="230">
        <f>(SUM('1.  LRAMVA Summary'!G$54:G$59)+SUM('1.  LRAMVA Summary'!G$60:G$61)*(MONTH($E50)-1)/12)*$H50</f>
        <v>4.251873325</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5.4143957116666668</v>
      </c>
    </row>
    <row r="51" spans="1:23" s="9" customFormat="1">
      <c r="B51" s="213" t="s">
        <v>89</v>
      </c>
      <c r="C51" s="745">
        <v>2.18E-2</v>
      </c>
      <c r="D51" s="206"/>
      <c r="E51" s="214">
        <v>41456</v>
      </c>
      <c r="F51" s="214" t="s">
        <v>179</v>
      </c>
      <c r="G51" s="215" t="s">
        <v>68</v>
      </c>
      <c r="H51" s="232">
        <f>C$25/12</f>
        <v>1.225E-3</v>
      </c>
      <c r="I51" s="230">
        <f>(SUM('1.  LRAMVA Summary'!D$54:D$59)+SUM('1.  LRAMVA Summary'!D$60:D$61)*(MONTH($E51)-1)/12)*$H51</f>
        <v>0.56393413999999997</v>
      </c>
      <c r="J51" s="230">
        <f>(SUM('1.  LRAMVA Summary'!E$54:E$59)+SUM('1.  LRAMVA Summary'!E$60:E$61)*(MONTH($E51)-1)/12)*$H51</f>
        <v>0.83109272400000012</v>
      </c>
      <c r="K51" s="230">
        <f>(SUM('1.  LRAMVA Summary'!F$54:F$59)+SUM('1.  LRAMVA Summary'!F$60:F$61)*(MONTH($E51)-1)/12)*$H51</f>
        <v>0</v>
      </c>
      <c r="L51" s="230">
        <f>(SUM('1.  LRAMVA Summary'!G$54:G$59)+SUM('1.  LRAMVA Summary'!G$60:G$61)*(MONTH($E51)-1)/12)*$H51</f>
        <v>5.1022479900000004</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6.4972748540000005</v>
      </c>
    </row>
    <row r="52" spans="1:23" s="9" customFormat="1">
      <c r="B52" s="213" t="s">
        <v>91</v>
      </c>
      <c r="C52" s="233">
        <v>2.18E-2</v>
      </c>
      <c r="D52" s="206"/>
      <c r="E52" s="214">
        <v>41487</v>
      </c>
      <c r="F52" s="214" t="s">
        <v>179</v>
      </c>
      <c r="G52" s="215" t="s">
        <v>68</v>
      </c>
      <c r="H52" s="229">
        <f>C$25/12</f>
        <v>1.225E-3</v>
      </c>
      <c r="I52" s="230">
        <f>(SUM('1.  LRAMVA Summary'!D$54:D$59)+SUM('1.  LRAMVA Summary'!D$60:D$61)*(MONTH($E52)-1)/12)*$H52</f>
        <v>0.65792316333333334</v>
      </c>
      <c r="J52" s="230">
        <f>(SUM('1.  LRAMVA Summary'!E$54:E$59)+SUM('1.  LRAMVA Summary'!E$60:E$61)*(MONTH($E52)-1)/12)*$H52</f>
        <v>0.9696081780000001</v>
      </c>
      <c r="K52" s="230">
        <f>(SUM('1.  LRAMVA Summary'!F$54:F$59)+SUM('1.  LRAMVA Summary'!F$60:F$61)*(MONTH($E52)-1)/12)*$H52</f>
        <v>0</v>
      </c>
      <c r="L52" s="230">
        <f>(SUM('1.  LRAMVA Summary'!G$54:G$59)+SUM('1.  LRAMVA Summary'!G$60:G$61)*(MONTH($E52)-1)/12)*$H52</f>
        <v>5.9526226549999999</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7.5801539963333333</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0.7519121866666667</v>
      </c>
      <c r="J53" s="230">
        <f>(SUM('1.  LRAMVA Summary'!E$54:E$59)+SUM('1.  LRAMVA Summary'!E$60:E$61)*(MONTH($E53)-1)/12)*$H53</f>
        <v>1.1081236320000001</v>
      </c>
      <c r="K53" s="230">
        <f>(SUM('1.  LRAMVA Summary'!F$54:F$59)+SUM('1.  LRAMVA Summary'!F$60:F$61)*(MONTH($E53)-1)/12)*$H53</f>
        <v>0</v>
      </c>
      <c r="L53" s="230">
        <f>(SUM('1.  LRAMVA Summary'!G$54:G$59)+SUM('1.  LRAMVA Summary'!G$60:G$61)*(MONTH($E53)-1)/12)*$H53</f>
        <v>6.8029973200000002</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8.6630331386666661</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0.84590121000000018</v>
      </c>
      <c r="J54" s="230">
        <f>(SUM('1.  LRAMVA Summary'!E$54:E$59)+SUM('1.  LRAMVA Summary'!E$60:E$61)*(MONTH($E54)-1)/12)*$H54</f>
        <v>1.2466390860000001</v>
      </c>
      <c r="K54" s="230">
        <f>(SUM('1.  LRAMVA Summary'!F$54:F$59)+SUM('1.  LRAMVA Summary'!F$60:F$61)*(MONTH($E54)-1)/12)*$H54</f>
        <v>0</v>
      </c>
      <c r="L54" s="230">
        <f>(SUM('1.  LRAMVA Summary'!G$54:G$59)+SUM('1.  LRAMVA Summary'!G$60:G$61)*(MONTH($E54)-1)/12)*$H54</f>
        <v>7.6533719850000006</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9.7459122810000007</v>
      </c>
    </row>
    <row r="55" spans="1:23" s="9" customFormat="1">
      <c r="B55" s="213" t="s">
        <v>716</v>
      </c>
      <c r="C55" s="233"/>
      <c r="D55" s="206"/>
      <c r="E55" s="214">
        <v>41579</v>
      </c>
      <c r="F55" s="214" t="s">
        <v>179</v>
      </c>
      <c r="G55" s="215" t="s">
        <v>69</v>
      </c>
      <c r="H55" s="229">
        <f>C$26/12</f>
        <v>1.225E-3</v>
      </c>
      <c r="I55" s="230">
        <f>(SUM('1.  LRAMVA Summary'!D$54:D$59)+SUM('1.  LRAMVA Summary'!D$60:D$61)*(MONTH($E55)-1)/12)*$H55</f>
        <v>0.93989023333333344</v>
      </c>
      <c r="J55" s="230">
        <f>(SUM('1.  LRAMVA Summary'!E$54:E$59)+SUM('1.  LRAMVA Summary'!E$60:E$61)*(MONTH($E55)-1)/12)*$H55</f>
        <v>1.3851545400000003</v>
      </c>
      <c r="K55" s="230">
        <f>(SUM('1.  LRAMVA Summary'!F$54:F$59)+SUM('1.  LRAMVA Summary'!F$60:F$61)*(MONTH($E55)-1)/12)*$H55</f>
        <v>0</v>
      </c>
      <c r="L55" s="230">
        <f>(SUM('1.  LRAMVA Summary'!G$54:G$59)+SUM('1.  LRAMVA Summary'!G$60:G$61)*(MONTH($E55)-1)/12)*$H55</f>
        <v>8.5037466500000001</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10.828791423333334</v>
      </c>
    </row>
    <row r="56" spans="1:23" s="9" customFormat="1">
      <c r="B56" s="213" t="s">
        <v>717</v>
      </c>
      <c r="C56" s="233"/>
      <c r="D56" s="206"/>
      <c r="E56" s="214">
        <v>41609</v>
      </c>
      <c r="F56" s="214" t="s">
        <v>179</v>
      </c>
      <c r="G56" s="215" t="s">
        <v>69</v>
      </c>
      <c r="H56" s="229">
        <f>C$26/12</f>
        <v>1.225E-3</v>
      </c>
      <c r="I56" s="230">
        <f>(SUM('1.  LRAMVA Summary'!D$54:D$59)+SUM('1.  LRAMVA Summary'!D$60:D$61)*(MONTH($E56)-1)/12)*$H56</f>
        <v>1.0338792566666668</v>
      </c>
      <c r="J56" s="230">
        <f>(SUM('1.  LRAMVA Summary'!E$54:E$59)+SUM('1.  LRAMVA Summary'!E$60:E$61)*(MONTH($E56)-1)/12)*$H56</f>
        <v>1.5236699940000002</v>
      </c>
      <c r="K56" s="230">
        <f>(SUM('1.  LRAMVA Summary'!F$54:F$59)+SUM('1.  LRAMVA Summary'!F$60:F$61)*(MONTH($E56)-1)/12)*$H56</f>
        <v>0</v>
      </c>
      <c r="L56" s="230">
        <f>(SUM('1.  LRAMVA Summary'!G$54:G$59)+SUM('1.  LRAMVA Summary'!G$60:G$61)*(MONTH($E56)-1)/12)*$H56</f>
        <v>9.3541213150000004</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11.911670565666668</v>
      </c>
    </row>
    <row r="57" spans="1:23" s="9" customFormat="1" ht="15" thickBot="1">
      <c r="B57" s="213" t="s">
        <v>718</v>
      </c>
      <c r="C57" s="233"/>
      <c r="D57" s="206"/>
      <c r="E57" s="216" t="s">
        <v>463</v>
      </c>
      <c r="F57" s="216"/>
      <c r="G57" s="217"/>
      <c r="H57" s="218"/>
      <c r="I57" s="219">
        <f>SUM(I44:I56)</f>
        <v>6.2032755399999999</v>
      </c>
      <c r="J57" s="219">
        <f t="shared" ref="J57:O57" si="11">SUM(J44:J56)</f>
        <v>9.1420199640000011</v>
      </c>
      <c r="K57" s="219">
        <f t="shared" si="11"/>
        <v>0</v>
      </c>
      <c r="L57" s="219">
        <f t="shared" si="11"/>
        <v>56.124727890000003</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71.470023394000009</v>
      </c>
    </row>
    <row r="58" spans="1:23" s="9" customFormat="1" ht="15" thickTop="1">
      <c r="B58" s="235" t="s">
        <v>719</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720</v>
      </c>
      <c r="C59" s="233"/>
      <c r="D59" s="206"/>
      <c r="E59" s="225" t="s">
        <v>427</v>
      </c>
      <c r="F59" s="225"/>
      <c r="G59" s="226"/>
      <c r="H59" s="227"/>
      <c r="I59" s="228">
        <f t="shared" ref="I59:W59" si="13">I57+I58</f>
        <v>6.2032755399999999</v>
      </c>
      <c r="J59" s="228">
        <f t="shared" si="13"/>
        <v>9.1420199640000011</v>
      </c>
      <c r="K59" s="228">
        <f t="shared" si="13"/>
        <v>0</v>
      </c>
      <c r="L59" s="228">
        <f t="shared" si="13"/>
        <v>56.124727890000003</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71.470023394000009</v>
      </c>
    </row>
    <row r="60" spans="1:23" s="9" customFormat="1">
      <c r="B60" s="213" t="s">
        <v>721</v>
      </c>
      <c r="C60" s="233"/>
      <c r="D60" s="206"/>
      <c r="E60" s="214">
        <v>41640</v>
      </c>
      <c r="F60" s="214" t="s">
        <v>180</v>
      </c>
      <c r="G60" s="215" t="s">
        <v>65</v>
      </c>
      <c r="H60" s="232">
        <f>C$27/12</f>
        <v>1.225E-3</v>
      </c>
      <c r="I60" s="230">
        <f>(SUM('1.  LRAMVA Summary'!D$54:D$62)+SUM('1.  LRAMVA Summary'!D$63:D$64)*(MONTH($E60)-1)/12)*$H60</f>
        <v>1.1278682800000002</v>
      </c>
      <c r="J60" s="230">
        <f>(SUM('1.  LRAMVA Summary'!E$54:E$62)+SUM('1.  LRAMVA Summary'!E$63:E$64)*(MONTH($E60)-1)/12)*$H60</f>
        <v>1.6621854480000002</v>
      </c>
      <c r="K60" s="230">
        <f>(SUM('1.  LRAMVA Summary'!F$54:F$62)+SUM('1.  LRAMVA Summary'!F$63:F$64)*(MONTH($E60)-1)/12)*$H60</f>
        <v>0</v>
      </c>
      <c r="L60" s="230">
        <f>(SUM('1.  LRAMVA Summary'!G$54:G$62)+SUM('1.  LRAMVA Summary'!G$63:G$64)*(MONTH($E60)-1)/12)*$H60</f>
        <v>10.204495980000001</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12.994549708000001</v>
      </c>
    </row>
    <row r="61" spans="1:23" s="9" customFormat="1">
      <c r="A61" s="28"/>
      <c r="B61" s="213" t="s">
        <v>722</v>
      </c>
      <c r="C61" s="233"/>
      <c r="E61" s="214">
        <v>41671</v>
      </c>
      <c r="F61" s="214" t="s">
        <v>180</v>
      </c>
      <c r="G61" s="215" t="s">
        <v>65</v>
      </c>
      <c r="H61" s="229">
        <f>C$27/12</f>
        <v>1.225E-3</v>
      </c>
      <c r="I61" s="230">
        <f>(SUM('1.  LRAMVA Summary'!D$54:D$62)+SUM('1.  LRAMVA Summary'!D$63:D$64)*(MONTH($E61)-1)/12)*$H61</f>
        <v>0.92930190500000021</v>
      </c>
      <c r="J61" s="230">
        <f>(SUM('1.  LRAMVA Summary'!E$54:E$62)+SUM('1.  LRAMVA Summary'!E$63:E$64)*(MONTH($E61)-1)/12)*$H61</f>
        <v>1.7232125631291668</v>
      </c>
      <c r="K61" s="230">
        <f>(SUM('1.  LRAMVA Summary'!F$54:F$62)+SUM('1.  LRAMVA Summary'!F$63:F$64)*(MONTH($E61)-1)/12)*$H61</f>
        <v>-0.27080000062499998</v>
      </c>
      <c r="L61" s="230">
        <f>(SUM('1.  LRAMVA Summary'!G$54:G$62)+SUM('1.  LRAMVA Summary'!G$63:G$64)*(MONTH($E61)-1)/12)*$H61</f>
        <v>10.437222261958333</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12.8189367294625</v>
      </c>
    </row>
    <row r="62" spans="1:23" s="9" customFormat="1">
      <c r="B62" s="235" t="s">
        <v>723</v>
      </c>
      <c r="C62" s="236"/>
      <c r="E62" s="214">
        <v>41699</v>
      </c>
      <c r="F62" s="214" t="s">
        <v>180</v>
      </c>
      <c r="G62" s="215" t="s">
        <v>65</v>
      </c>
      <c r="H62" s="229">
        <f>C$27/12</f>
        <v>1.225E-3</v>
      </c>
      <c r="I62" s="230">
        <f>(SUM('1.  LRAMVA Summary'!D$54:D$62)+SUM('1.  LRAMVA Summary'!D$63:D$64)*(MONTH($E62)-1)/12)*$H62</f>
        <v>0.73073553000000036</v>
      </c>
      <c r="J62" s="230">
        <f>(SUM('1.  LRAMVA Summary'!E$54:E$62)+SUM('1.  LRAMVA Summary'!E$63:E$64)*(MONTH($E62)-1)/12)*$H62</f>
        <v>1.7842396782583336</v>
      </c>
      <c r="K62" s="230">
        <f>(SUM('1.  LRAMVA Summary'!F$54:F$62)+SUM('1.  LRAMVA Summary'!F$63:F$64)*(MONTH($E62)-1)/12)*$H62</f>
        <v>-0.54160000124999996</v>
      </c>
      <c r="L62" s="230">
        <f>(SUM('1.  LRAMVA Summary'!G$54:G$62)+SUM('1.  LRAMVA Summary'!G$63:G$64)*(MONTH($E62)-1)/12)*$H62</f>
        <v>10.669948543916668</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12.643323750925003</v>
      </c>
    </row>
    <row r="63" spans="1:23" s="9" customFormat="1">
      <c r="B63" s="213" t="s">
        <v>734</v>
      </c>
      <c r="C63" s="233"/>
      <c r="E63" s="214">
        <v>41730</v>
      </c>
      <c r="F63" s="214" t="s">
        <v>180</v>
      </c>
      <c r="G63" s="215" t="s">
        <v>66</v>
      </c>
      <c r="H63" s="232">
        <f>C$28/12</f>
        <v>1.225E-3</v>
      </c>
      <c r="I63" s="230">
        <f>(SUM('1.  LRAMVA Summary'!D$54:D$62)+SUM('1.  LRAMVA Summary'!D$63:D$64)*(MONTH($E63)-1)/12)*$H63</f>
        <v>0.53216915500000028</v>
      </c>
      <c r="J63" s="230">
        <f>(SUM('1.  LRAMVA Summary'!E$54:E$62)+SUM('1.  LRAMVA Summary'!E$63:E$64)*(MONTH($E63)-1)/12)*$H63</f>
        <v>1.8452667933875002</v>
      </c>
      <c r="K63" s="230">
        <f>(SUM('1.  LRAMVA Summary'!F$54:F$62)+SUM('1.  LRAMVA Summary'!F$63:F$64)*(MONTH($E63)-1)/12)*$H63</f>
        <v>-0.81240000187499994</v>
      </c>
      <c r="L63" s="230">
        <f>(SUM('1.  LRAMVA Summary'!G$54:G$62)+SUM('1.  LRAMVA Summary'!G$63:G$64)*(MONTH($E63)-1)/12)*$H63</f>
        <v>10.902674825875001</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12.467710772387502</v>
      </c>
    </row>
    <row r="64" spans="1:23" s="9" customFormat="1">
      <c r="B64" s="213" t="s">
        <v>735</v>
      </c>
      <c r="C64" s="233"/>
      <c r="E64" s="214">
        <v>41760</v>
      </c>
      <c r="F64" s="214" t="s">
        <v>180</v>
      </c>
      <c r="G64" s="215" t="s">
        <v>66</v>
      </c>
      <c r="H64" s="229">
        <f>C$28/12</f>
        <v>1.225E-3</v>
      </c>
      <c r="I64" s="230">
        <f>(SUM('1.  LRAMVA Summary'!D$54:D$62)+SUM('1.  LRAMVA Summary'!D$63:D$64)*(MONTH($E64)-1)/12)*$H64</f>
        <v>0.33360278000000043</v>
      </c>
      <c r="J64" s="230">
        <f>(SUM('1.  LRAMVA Summary'!E$54:E$62)+SUM('1.  LRAMVA Summary'!E$63:E$64)*(MONTH($E64)-1)/12)*$H64</f>
        <v>1.9062939085166668</v>
      </c>
      <c r="K64" s="230">
        <f>(SUM('1.  LRAMVA Summary'!F$54:F$62)+SUM('1.  LRAMVA Summary'!F$63:F$64)*(MONTH($E64)-1)/12)*$H64</f>
        <v>-1.0832000024999999</v>
      </c>
      <c r="L64" s="230">
        <f>(SUM('1.  LRAMVA Summary'!G$54:G$62)+SUM('1.  LRAMVA Summary'!G$63:G$64)*(MONTH($E64)-1)/12)*$H64</f>
        <v>11.135401107833335</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12.292097793850003</v>
      </c>
    </row>
    <row r="65" spans="2:23" s="9" customFormat="1">
      <c r="B65" s="213" t="s">
        <v>736</v>
      </c>
      <c r="C65" s="233"/>
      <c r="E65" s="214">
        <v>41791</v>
      </c>
      <c r="F65" s="214" t="s">
        <v>180</v>
      </c>
      <c r="G65" s="215" t="s">
        <v>66</v>
      </c>
      <c r="H65" s="229">
        <f>C$28/12</f>
        <v>1.225E-3</v>
      </c>
      <c r="I65" s="230">
        <f>(SUM('1.  LRAMVA Summary'!D$54:D$62)+SUM('1.  LRAMVA Summary'!D$63:D$64)*(MONTH($E65)-1)/12)*$H65</f>
        <v>0.13503640500000039</v>
      </c>
      <c r="J65" s="230">
        <f>(SUM('1.  LRAMVA Summary'!E$54:E$62)+SUM('1.  LRAMVA Summary'!E$63:E$64)*(MONTH($E65)-1)/12)*$H65</f>
        <v>1.9673210236458334</v>
      </c>
      <c r="K65" s="230">
        <f>(SUM('1.  LRAMVA Summary'!F$54:F$62)+SUM('1.  LRAMVA Summary'!F$63:F$64)*(MONTH($E65)-1)/12)*$H65</f>
        <v>-1.3540000031250001</v>
      </c>
      <c r="L65" s="230">
        <f>(SUM('1.  LRAMVA Summary'!G$54:G$62)+SUM('1.  LRAMVA Summary'!G$63:G$64)*(MONTH($E65)-1)/12)*$H65</f>
        <v>11.368127389791667</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12.1164848153125</v>
      </c>
    </row>
    <row r="66" spans="2:23" s="9" customFormat="1">
      <c r="B66" s="235" t="s">
        <v>737</v>
      </c>
      <c r="C66" s="236"/>
      <c r="E66" s="214">
        <v>41821</v>
      </c>
      <c r="F66" s="214" t="s">
        <v>180</v>
      </c>
      <c r="G66" s="215" t="s">
        <v>68</v>
      </c>
      <c r="H66" s="232">
        <f>C$29/12</f>
        <v>1.225E-3</v>
      </c>
      <c r="I66" s="230">
        <f>(SUM('1.  LRAMVA Summary'!D$54:D$62)+SUM('1.  LRAMVA Summary'!D$63:D$64)*(MONTH($E66)-1)/12)*$H66</f>
        <v>-6.3529969999999505E-2</v>
      </c>
      <c r="J66" s="230">
        <f>(SUM('1.  LRAMVA Summary'!E$54:E$62)+SUM('1.  LRAMVA Summary'!E$63:E$64)*(MONTH($E66)-1)/12)*$H66</f>
        <v>2.0283481387750002</v>
      </c>
      <c r="K66" s="230">
        <f>(SUM('1.  LRAMVA Summary'!F$54:F$62)+SUM('1.  LRAMVA Summary'!F$63:F$64)*(MONTH($E66)-1)/12)*$H66</f>
        <v>-1.6248000037499999</v>
      </c>
      <c r="L66" s="230">
        <f>(SUM('1.  LRAMVA Summary'!G$54:G$62)+SUM('1.  LRAMVA Summary'!G$63:G$64)*(MONTH($E66)-1)/12)*$H66</f>
        <v>11.60085367175</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11.940871836775001</v>
      </c>
    </row>
    <row r="67" spans="2:23" s="9" customFormat="1">
      <c r="B67" s="213" t="s">
        <v>739</v>
      </c>
      <c r="C67" s="233"/>
      <c r="E67" s="214">
        <v>41852</v>
      </c>
      <c r="F67" s="214" t="s">
        <v>180</v>
      </c>
      <c r="G67" s="215" t="s">
        <v>68</v>
      </c>
      <c r="H67" s="229">
        <f>C$29/12</f>
        <v>1.225E-3</v>
      </c>
      <c r="I67" s="230">
        <f>(SUM('1.  LRAMVA Summary'!D$54:D$62)+SUM('1.  LRAMVA Summary'!D$63:D$64)*(MONTH($E67)-1)/12)*$H67</f>
        <v>-0.26209634499999951</v>
      </c>
      <c r="J67" s="230">
        <f>(SUM('1.  LRAMVA Summary'!E$54:E$62)+SUM('1.  LRAMVA Summary'!E$63:E$64)*(MONTH($E67)-1)/12)*$H67</f>
        <v>2.0893752539041666</v>
      </c>
      <c r="K67" s="230">
        <f>(SUM('1.  LRAMVA Summary'!F$54:F$62)+SUM('1.  LRAMVA Summary'!F$63:F$64)*(MONTH($E67)-1)/12)*$H67</f>
        <v>-1.8956000043749999</v>
      </c>
      <c r="L67" s="230">
        <f>(SUM('1.  LRAMVA Summary'!G$54:G$62)+SUM('1.  LRAMVA Summary'!G$63:G$64)*(MONTH($E67)-1)/12)*$H67</f>
        <v>11.833579953708336</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11.765258858237504</v>
      </c>
    </row>
    <row r="68" spans="2:23" s="9" customFormat="1">
      <c r="B68" s="213" t="s">
        <v>740</v>
      </c>
      <c r="C68" s="233"/>
      <c r="E68" s="214">
        <v>41883</v>
      </c>
      <c r="F68" s="214" t="s">
        <v>180</v>
      </c>
      <c r="G68" s="215" t="s">
        <v>68</v>
      </c>
      <c r="H68" s="229">
        <f>C$29/12</f>
        <v>1.225E-3</v>
      </c>
      <c r="I68" s="230">
        <f>(SUM('1.  LRAMVA Summary'!D$54:D$62)+SUM('1.  LRAMVA Summary'!D$63:D$64)*(MONTH($E68)-1)/12)*$H68</f>
        <v>-0.4606627199999993</v>
      </c>
      <c r="J68" s="230">
        <f>(SUM('1.  LRAMVA Summary'!E$54:E$62)+SUM('1.  LRAMVA Summary'!E$63:E$64)*(MONTH($E68)-1)/12)*$H68</f>
        <v>2.1504023690333334</v>
      </c>
      <c r="K68" s="230">
        <f>(SUM('1.  LRAMVA Summary'!F$54:F$62)+SUM('1.  LRAMVA Summary'!F$63:F$64)*(MONTH($E68)-1)/12)*$H68</f>
        <v>-2.1664000049999999</v>
      </c>
      <c r="L68" s="230">
        <f>(SUM('1.  LRAMVA Summary'!G$54:G$62)+SUM('1.  LRAMVA Summary'!G$63:G$64)*(MONTH($E68)-1)/12)*$H68</f>
        <v>12.066306235666667</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11.589645879700001</v>
      </c>
    </row>
    <row r="69" spans="2:23" s="9" customFormat="1">
      <c r="B69" s="213" t="s">
        <v>741</v>
      </c>
      <c r="C69" s="233"/>
      <c r="E69" s="214">
        <v>41913</v>
      </c>
      <c r="F69" s="214" t="s">
        <v>180</v>
      </c>
      <c r="G69" s="215" t="s">
        <v>69</v>
      </c>
      <c r="H69" s="232">
        <f>C$30/12</f>
        <v>1.225E-3</v>
      </c>
      <c r="I69" s="230">
        <f>(SUM('1.  LRAMVA Summary'!D$54:D$62)+SUM('1.  LRAMVA Summary'!D$63:D$64)*(MONTH($E69)-1)/12)*$H69</f>
        <v>-0.65922909499999927</v>
      </c>
      <c r="J69" s="230">
        <f>(SUM('1.  LRAMVA Summary'!E$54:E$62)+SUM('1.  LRAMVA Summary'!E$63:E$64)*(MONTH($E69)-1)/12)*$H69</f>
        <v>2.2114294841625002</v>
      </c>
      <c r="K69" s="230">
        <f>(SUM('1.  LRAMVA Summary'!F$54:F$62)+SUM('1.  LRAMVA Summary'!F$63:F$64)*(MONTH($E69)-1)/12)*$H69</f>
        <v>-2.4372000056249998</v>
      </c>
      <c r="L69" s="230">
        <f>(SUM('1.  LRAMVA Summary'!G$54:G$62)+SUM('1.  LRAMVA Summary'!G$63:G$64)*(MONTH($E69)-1)/12)*$H69</f>
        <v>12.299032517625001</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11.414032901162502</v>
      </c>
    </row>
    <row r="70" spans="2:23" s="9" customFormat="1">
      <c r="B70" s="235" t="s">
        <v>742</v>
      </c>
      <c r="C70" s="236"/>
      <c r="E70" s="214">
        <v>41944</v>
      </c>
      <c r="F70" s="214" t="s">
        <v>180</v>
      </c>
      <c r="G70" s="215" t="s">
        <v>69</v>
      </c>
      <c r="H70" s="229">
        <f>C$30/12</f>
        <v>1.225E-3</v>
      </c>
      <c r="I70" s="230">
        <f>(SUM('1.  LRAMVA Summary'!D$54:D$62)+SUM('1.  LRAMVA Summary'!D$63:D$64)*(MONTH($E70)-1)/12)*$H70</f>
        <v>-0.85779546999999934</v>
      </c>
      <c r="J70" s="230">
        <f>(SUM('1.  LRAMVA Summary'!E$54:E$62)+SUM('1.  LRAMVA Summary'!E$63:E$64)*(MONTH($E70)-1)/12)*$H70</f>
        <v>2.2724565992916665</v>
      </c>
      <c r="K70" s="230">
        <f>(SUM('1.  LRAMVA Summary'!F$54:F$62)+SUM('1.  LRAMVA Summary'!F$63:F$64)*(MONTH($E70)-1)/12)*$H70</f>
        <v>-2.7080000062500003</v>
      </c>
      <c r="L70" s="230">
        <f>(SUM('1.  LRAMVA Summary'!G$54:G$62)+SUM('1.  LRAMVA Summary'!G$63:G$64)*(MONTH($E70)-1)/12)*$H70</f>
        <v>12.531758799583335</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11.238419922625003</v>
      </c>
    </row>
    <row r="71" spans="2:23" s="9" customFormat="1">
      <c r="B71" s="213" t="s">
        <v>743</v>
      </c>
      <c r="C71" s="233"/>
      <c r="E71" s="214">
        <v>41974</v>
      </c>
      <c r="F71" s="214" t="s">
        <v>180</v>
      </c>
      <c r="G71" s="215" t="s">
        <v>69</v>
      </c>
      <c r="H71" s="229">
        <f>C$30/12</f>
        <v>1.225E-3</v>
      </c>
      <c r="I71" s="230">
        <f>(SUM('1.  LRAMVA Summary'!D$54:D$62)+SUM('1.  LRAMVA Summary'!D$63:D$64)*(MONTH($E71)-1)/12)*$H71</f>
        <v>-1.0563618449999992</v>
      </c>
      <c r="J71" s="230">
        <f>(SUM('1.  LRAMVA Summary'!E$54:E$62)+SUM('1.  LRAMVA Summary'!E$63:E$64)*(MONTH($E71)-1)/12)*$H71</f>
        <v>2.3334837144208334</v>
      </c>
      <c r="K71" s="230">
        <f>(SUM('1.  LRAMVA Summary'!F$54:F$62)+SUM('1.  LRAMVA Summary'!F$63:F$64)*(MONTH($E71)-1)/12)*$H71</f>
        <v>-2.9788000068749998</v>
      </c>
      <c r="L71" s="230">
        <f>(SUM('1.  LRAMVA Summary'!G$54:G$62)+SUM('1.  LRAMVA Summary'!G$63:G$64)*(MONTH($E71)-1)/12)*$H71</f>
        <v>12.76448508154167</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11.062806944087505</v>
      </c>
    </row>
    <row r="72" spans="2:23" s="9" customFormat="1" ht="15" thickBot="1">
      <c r="B72" s="213" t="s">
        <v>744</v>
      </c>
      <c r="C72" s="233"/>
      <c r="E72" s="216" t="s">
        <v>464</v>
      </c>
      <c r="F72" s="216"/>
      <c r="G72" s="217"/>
      <c r="H72" s="218"/>
      <c r="I72" s="219">
        <f>SUM(I59:I71)</f>
        <v>6.6323141500000062</v>
      </c>
      <c r="J72" s="219">
        <f t="shared" ref="J72:V72" si="16">SUM(J59:J71)</f>
        <v>33.116034938525004</v>
      </c>
      <c r="K72" s="219">
        <f t="shared" si="16"/>
        <v>-17.872800041249999</v>
      </c>
      <c r="L72" s="219">
        <f t="shared" si="16"/>
        <v>193.93861425924999</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215.81416330652502</v>
      </c>
    </row>
    <row r="73" spans="2:23" s="9" customFormat="1" ht="15" thickTop="1">
      <c r="B73" s="213" t="s">
        <v>745</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746</v>
      </c>
      <c r="C74" s="236"/>
      <c r="E74" s="225" t="s">
        <v>428</v>
      </c>
      <c r="F74" s="225"/>
      <c r="G74" s="226"/>
      <c r="H74" s="227"/>
      <c r="I74" s="228">
        <f t="shared" ref="I74:O74" si="17">I72+I73</f>
        <v>6.6323141500000062</v>
      </c>
      <c r="J74" s="228">
        <f t="shared" si="17"/>
        <v>33.116034938525004</v>
      </c>
      <c r="K74" s="228">
        <f t="shared" si="17"/>
        <v>-17.872800041249999</v>
      </c>
      <c r="L74" s="228">
        <f t="shared" si="17"/>
        <v>193.93861425924999</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215.81416330652502</v>
      </c>
    </row>
    <row r="75" spans="2:23" s="9" customFormat="1">
      <c r="B75" s="66"/>
      <c r="E75" s="214">
        <v>42005</v>
      </c>
      <c r="F75" s="214" t="s">
        <v>181</v>
      </c>
      <c r="G75" s="215" t="s">
        <v>65</v>
      </c>
      <c r="H75" s="229">
        <f>C$31/12</f>
        <v>1.225E-3</v>
      </c>
      <c r="I75" s="230">
        <f>(SUM('1.  LRAMVA Summary'!D$54:D$65)+SUM('1.  LRAMVA Summary'!D$66:D$67)*(MONTH($E75)-1)/12)*$H75</f>
        <v>-1.2549282199999989</v>
      </c>
      <c r="J75" s="230">
        <f>(SUM('1.  LRAMVA Summary'!E$54:E$65)+SUM('1.  LRAMVA Summary'!E$66:E$67)*(MONTH($E75)-1)/12)*$H75</f>
        <v>2.3945108295499997</v>
      </c>
      <c r="K75" s="230">
        <f>(SUM('1.  LRAMVA Summary'!F$54:F$65)+SUM('1.  LRAMVA Summary'!F$66:F$67)*(MONTH($E75)-1)/12)*$H75</f>
        <v>-3.2496000074999998</v>
      </c>
      <c r="L75" s="230">
        <f>(SUM('1.  LRAMVA Summary'!G$54:G$65)+SUM('1.  LRAMVA Summary'!G$66:G$67)*(MONTH($E75)-1)/12)*$H75</f>
        <v>12.997211363500004</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10.887193965550004</v>
      </c>
    </row>
    <row r="76" spans="2:23" s="238" customFormat="1">
      <c r="B76" s="237"/>
      <c r="E76" s="214">
        <v>42036</v>
      </c>
      <c r="F76" s="214" t="s">
        <v>181</v>
      </c>
      <c r="G76" s="215" t="s">
        <v>65</v>
      </c>
      <c r="H76" s="229">
        <f t="shared" ref="H76:H77" si="19">C$31/12</f>
        <v>1.225E-3</v>
      </c>
      <c r="I76" s="230">
        <f>(SUM('1.  LRAMVA Summary'!D$54:D$65)+SUM('1.  LRAMVA Summary'!D$66:D$67)*(MONTH($E76)-1)/12)*$H76</f>
        <v>-1.2241574552083321</v>
      </c>
      <c r="J76" s="230">
        <f>(SUM('1.  LRAMVA Summary'!E$54:E$65)+SUM('1.  LRAMVA Summary'!E$66:E$67)*(MONTH($E76)-1)/12)*$H76</f>
        <v>2.5398057751208332</v>
      </c>
      <c r="K76" s="230">
        <f>(SUM('1.  LRAMVA Summary'!F$54:F$65)+SUM('1.  LRAMVA Summary'!F$66:F$67)*(MONTH($E76)-1)/12)*$H76</f>
        <v>-3.4911050212499997</v>
      </c>
      <c r="L76" s="230">
        <f>(SUM('1.  LRAMVA Summary'!G$54:G$65)+SUM('1.  LRAMVA Summary'!G$66:G$67)*(MONTH($E76)-1)/12)*$H76</f>
        <v>13.254488027666671</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11.079031326329172</v>
      </c>
    </row>
    <row r="77" spans="2:23" s="9" customFormat="1" ht="15.6">
      <c r="B77" s="183" t="s">
        <v>182</v>
      </c>
      <c r="E77" s="214">
        <v>42064</v>
      </c>
      <c r="F77" s="214" t="s">
        <v>181</v>
      </c>
      <c r="G77" s="215" t="s">
        <v>65</v>
      </c>
      <c r="H77" s="229">
        <f t="shared" si="19"/>
        <v>1.225E-3</v>
      </c>
      <c r="I77" s="230">
        <f>(SUM('1.  LRAMVA Summary'!D$54:D$65)+SUM('1.  LRAMVA Summary'!D$66:D$67)*(MONTH($E77)-1)/12)*$H77</f>
        <v>-1.1933866904166655</v>
      </c>
      <c r="J77" s="230">
        <f>(SUM('1.  LRAMVA Summary'!E$54:E$65)+SUM('1.  LRAMVA Summary'!E$66:E$67)*(MONTH($E77)-1)/12)*$H77</f>
        <v>2.6851007206916666</v>
      </c>
      <c r="K77" s="230">
        <f>(SUM('1.  LRAMVA Summary'!F$54:F$65)+SUM('1.  LRAMVA Summary'!F$66:F$67)*(MONTH($E77)-1)/12)*$H77</f>
        <v>-3.732610035</v>
      </c>
      <c r="L77" s="230">
        <f>(SUM('1.  LRAMVA Summary'!G$54:G$65)+SUM('1.  LRAMVA Summary'!G$66:G$67)*(MONTH($E77)-1)/12)*$H77</f>
        <v>13.511764691833337</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11.270868687108338</v>
      </c>
    </row>
    <row r="78" spans="2:23" s="9" customFormat="1">
      <c r="B78" s="66"/>
      <c r="E78" s="214">
        <v>42095</v>
      </c>
      <c r="F78" s="214" t="s">
        <v>181</v>
      </c>
      <c r="G78" s="215" t="s">
        <v>66</v>
      </c>
      <c r="H78" s="229">
        <f>C$32/12</f>
        <v>9.1666666666666665E-4</v>
      </c>
      <c r="I78" s="230">
        <f>(SUM('1.  LRAMVA Summary'!D$54:D$65)+SUM('1.  LRAMVA Summary'!D$66:D$67)*(MONTH($E78)-1)/12)*$H78</f>
        <v>-0.86998470624999902</v>
      </c>
      <c r="J78" s="230">
        <f>(SUM('1.  LRAMVA Summary'!E$54:E$65)+SUM('1.  LRAMVA Summary'!E$66:E$67)*(MONTH($E78)-1)/12)*$H78</f>
        <v>2.1179831516249998</v>
      </c>
      <c r="K78" s="230">
        <f>(SUM('1.  LRAMVA Summary'!F$54:F$65)+SUM('1.  LRAMVA Summary'!F$66:F$67)*(MONTH($E78)-1)/12)*$H78</f>
        <v>-2.9738275874999998</v>
      </c>
      <c r="L78" s="230">
        <f>(SUM('1.  LRAMVA Summary'!G$54:G$65)+SUM('1.  LRAMVA Summary'!G$66:G$67)*(MONTH($E78)-1)/12)*$H78</f>
        <v>10.303364280000004</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8.5775351378750049</v>
      </c>
    </row>
    <row r="79" spans="2:23" s="9" customFormat="1">
      <c r="B79" s="66"/>
      <c r="E79" s="214">
        <v>42125</v>
      </c>
      <c r="F79" s="214" t="s">
        <v>181</v>
      </c>
      <c r="G79" s="215" t="s">
        <v>66</v>
      </c>
      <c r="H79" s="229">
        <f t="shared" ref="H79:H80" si="21">C$32/12</f>
        <v>9.1666666666666665E-4</v>
      </c>
      <c r="I79" s="230">
        <f>(SUM('1.  LRAMVA Summary'!D$54:D$65)+SUM('1.  LRAMVA Summary'!D$66:D$67)*(MONTH($E79)-1)/12)*$H79</f>
        <v>-0.84695896388888781</v>
      </c>
      <c r="J79" s="230">
        <f>(SUM('1.  LRAMVA Summary'!E$54:E$65)+SUM('1.  LRAMVA Summary'!E$66:E$67)*(MONTH($E79)-1)/12)*$H79</f>
        <v>2.2267072605555556</v>
      </c>
      <c r="K79" s="230">
        <f>(SUM('1.  LRAMVA Summary'!F$54:F$65)+SUM('1.  LRAMVA Summary'!F$66:F$67)*(MONTH($E79)-1)/12)*$H79</f>
        <v>-3.1545456249999999</v>
      </c>
      <c r="L79" s="230">
        <f>(SUM('1.  LRAMVA Summary'!G$54:G$65)+SUM('1.  LRAMVA Summary'!G$66:G$67)*(MONTH($E79)-1)/12)*$H79</f>
        <v>10.495884232777781</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8.7210869044444497</v>
      </c>
    </row>
    <row r="80" spans="2:23" s="9" customFormat="1">
      <c r="B80" s="66"/>
      <c r="E80" s="214">
        <v>42156</v>
      </c>
      <c r="F80" s="214" t="s">
        <v>181</v>
      </c>
      <c r="G80" s="215" t="s">
        <v>66</v>
      </c>
      <c r="H80" s="229">
        <f t="shared" si="21"/>
        <v>9.1666666666666665E-4</v>
      </c>
      <c r="I80" s="230">
        <f>(SUM('1.  LRAMVA Summary'!D$54:D$65)+SUM('1.  LRAMVA Summary'!D$66:D$67)*(MONTH($E80)-1)/12)*$H80</f>
        <v>-0.8239332215277767</v>
      </c>
      <c r="J80" s="230">
        <f>(SUM('1.  LRAMVA Summary'!E$54:E$65)+SUM('1.  LRAMVA Summary'!E$66:E$67)*(MONTH($E80)-1)/12)*$H80</f>
        <v>2.3354313694861113</v>
      </c>
      <c r="K80" s="230">
        <f>(SUM('1.  LRAMVA Summary'!F$54:F$65)+SUM('1.  LRAMVA Summary'!F$66:F$67)*(MONTH($E80)-1)/12)*$H80</f>
        <v>-3.3352636625000001</v>
      </c>
      <c r="L80" s="230">
        <f>(SUM('1.  LRAMVA Summary'!G$54:G$65)+SUM('1.  LRAMVA Summary'!G$66:G$67)*(MONTH($E80)-1)/12)*$H80</f>
        <v>10.688404185555559</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8.8646386710138927</v>
      </c>
    </row>
    <row r="81" spans="2:23" s="9" customFormat="1">
      <c r="B81" s="66"/>
      <c r="E81" s="214">
        <v>42186</v>
      </c>
      <c r="F81" s="214" t="s">
        <v>181</v>
      </c>
      <c r="G81" s="215" t="s">
        <v>68</v>
      </c>
      <c r="H81" s="229">
        <f>C$33/12</f>
        <v>9.1666666666666665E-4</v>
      </c>
      <c r="I81" s="230">
        <f>(SUM('1.  LRAMVA Summary'!D$54:D$65)+SUM('1.  LRAMVA Summary'!D$66:D$67)*(MONTH($E81)-1)/12)*$H81</f>
        <v>-0.80090747916666549</v>
      </c>
      <c r="J81" s="230">
        <f>(SUM('1.  LRAMVA Summary'!E$54:E$65)+SUM('1.  LRAMVA Summary'!E$66:E$67)*(MONTH($E81)-1)/12)*$H81</f>
        <v>2.4441554784166666</v>
      </c>
      <c r="K81" s="230">
        <f>(SUM('1.  LRAMVA Summary'!F$54:F$65)+SUM('1.  LRAMVA Summary'!F$66:F$67)*(MONTH($E81)-1)/12)*$H81</f>
        <v>-3.5159816999999998</v>
      </c>
      <c r="L81" s="230">
        <f>(SUM('1.  LRAMVA Summary'!G$54:G$65)+SUM('1.  LRAMVA Summary'!G$66:G$67)*(MONTH($E81)-1)/12)*$H81</f>
        <v>10.880924138333336</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9.0081904375833375</v>
      </c>
    </row>
    <row r="82" spans="2:23" s="9" customFormat="1">
      <c r="B82" s="66"/>
      <c r="E82" s="214">
        <v>42217</v>
      </c>
      <c r="F82" s="214" t="s">
        <v>181</v>
      </c>
      <c r="G82" s="215" t="s">
        <v>68</v>
      </c>
      <c r="H82" s="229">
        <f t="shared" ref="H82:H83" si="22">C$33/12</f>
        <v>9.1666666666666665E-4</v>
      </c>
      <c r="I82" s="230">
        <f>(SUM('1.  LRAMVA Summary'!D$54:D$65)+SUM('1.  LRAMVA Summary'!D$66:D$67)*(MONTH($E82)-1)/12)*$H82</f>
        <v>-0.77788173680555439</v>
      </c>
      <c r="J82" s="230">
        <f>(SUM('1.  LRAMVA Summary'!E$54:E$65)+SUM('1.  LRAMVA Summary'!E$66:E$67)*(MONTH($E82)-1)/12)*$H82</f>
        <v>2.5528795873472223</v>
      </c>
      <c r="K82" s="230">
        <f>(SUM('1.  LRAMVA Summary'!F$54:F$65)+SUM('1.  LRAMVA Summary'!F$66:F$67)*(MONTH($E82)-1)/12)*$H82</f>
        <v>-3.6966997374999999</v>
      </c>
      <c r="L82" s="230">
        <f>(SUM('1.  LRAMVA Summary'!G$54:G$65)+SUM('1.  LRAMVA Summary'!G$66:G$67)*(MONTH($E82)-1)/12)*$H82</f>
        <v>11.073444091111115</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9.1517422041527841</v>
      </c>
    </row>
    <row r="83" spans="2:23" s="9" customFormat="1">
      <c r="B83" s="66"/>
      <c r="E83" s="214">
        <v>42248</v>
      </c>
      <c r="F83" s="214" t="s">
        <v>181</v>
      </c>
      <c r="G83" s="215" t="s">
        <v>68</v>
      </c>
      <c r="H83" s="229">
        <f t="shared" si="22"/>
        <v>9.1666666666666665E-4</v>
      </c>
      <c r="I83" s="230">
        <f>(SUM('1.  LRAMVA Summary'!D$54:D$65)+SUM('1.  LRAMVA Summary'!D$66:D$67)*(MONTH($E83)-1)/12)*$H83</f>
        <v>-0.75485599444444318</v>
      </c>
      <c r="J83" s="230">
        <f>(SUM('1.  LRAMVA Summary'!E$54:E$65)+SUM('1.  LRAMVA Summary'!E$66:E$67)*(MONTH($E83)-1)/12)*$H83</f>
        <v>2.6616036962777776</v>
      </c>
      <c r="K83" s="230">
        <f>(SUM('1.  LRAMVA Summary'!F$54:F$65)+SUM('1.  LRAMVA Summary'!F$66:F$67)*(MONTH($E83)-1)/12)*$H83</f>
        <v>-3.8774177749999996</v>
      </c>
      <c r="L83" s="230">
        <f>(SUM('1.  LRAMVA Summary'!G$54:G$65)+SUM('1.  LRAMVA Summary'!G$66:G$67)*(MONTH($E83)-1)/12)*$H83</f>
        <v>11.265964043888893</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9.2952939707222271</v>
      </c>
    </row>
    <row r="84" spans="2:23" s="9" customFormat="1">
      <c r="B84" s="66"/>
      <c r="E84" s="214">
        <v>42278</v>
      </c>
      <c r="F84" s="214" t="s">
        <v>181</v>
      </c>
      <c r="G84" s="215" t="s">
        <v>69</v>
      </c>
      <c r="H84" s="229">
        <f>C$34/12</f>
        <v>9.1666666666666665E-4</v>
      </c>
      <c r="I84" s="230">
        <f>(SUM('1.  LRAMVA Summary'!D$54:D$65)+SUM('1.  LRAMVA Summary'!D$66:D$67)*(MONTH($E84)-1)/12)*$H84</f>
        <v>-0.73183025208333208</v>
      </c>
      <c r="J84" s="230">
        <f>(SUM('1.  LRAMVA Summary'!E$54:E$65)+SUM('1.  LRAMVA Summary'!E$66:E$67)*(MONTH($E84)-1)/12)*$H84</f>
        <v>2.7703278052083338</v>
      </c>
      <c r="K84" s="230">
        <f>(SUM('1.  LRAMVA Summary'!F$54:F$65)+SUM('1.  LRAMVA Summary'!F$66:F$67)*(MONTH($E84)-1)/12)*$H84</f>
        <v>-4.0581358124999998</v>
      </c>
      <c r="L84" s="230">
        <f>(SUM('1.  LRAMVA Summary'!G$54:G$65)+SUM('1.  LRAMVA Summary'!G$66:G$67)*(MONTH($E84)-1)/12)*$H84</f>
        <v>11.45848399666667</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9.4388457372916719</v>
      </c>
    </row>
    <row r="85" spans="2:23" s="9" customFormat="1">
      <c r="B85" s="66"/>
      <c r="E85" s="214">
        <v>42309</v>
      </c>
      <c r="F85" s="214" t="s">
        <v>181</v>
      </c>
      <c r="G85" s="215" t="s">
        <v>69</v>
      </c>
      <c r="H85" s="229">
        <f t="shared" ref="H85:H86" si="23">C$34/12</f>
        <v>9.1666666666666665E-4</v>
      </c>
      <c r="I85" s="230">
        <f>(SUM('1.  LRAMVA Summary'!D$54:D$65)+SUM('1.  LRAMVA Summary'!D$66:D$67)*(MONTH($E85)-1)/12)*$H85</f>
        <v>-0.70880450972222087</v>
      </c>
      <c r="J85" s="230">
        <f>(SUM('1.  LRAMVA Summary'!E$54:E$65)+SUM('1.  LRAMVA Summary'!E$66:E$67)*(MONTH($E85)-1)/12)*$H85</f>
        <v>2.8790519141388886</v>
      </c>
      <c r="K85" s="230">
        <f>(SUM('1.  LRAMVA Summary'!F$54:F$65)+SUM('1.  LRAMVA Summary'!F$66:F$67)*(MONTH($E85)-1)/12)*$H85</f>
        <v>-4.2388538499999999</v>
      </c>
      <c r="L85" s="230">
        <f>(SUM('1.  LRAMVA Summary'!G$54:G$65)+SUM('1.  LRAMVA Summary'!G$66:G$67)*(MONTH($E85)-1)/12)*$H85</f>
        <v>11.651003949444448</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9.5823975038611167</v>
      </c>
    </row>
    <row r="86" spans="2:23" s="9" customFormat="1">
      <c r="B86" s="66"/>
      <c r="E86" s="214">
        <v>42339</v>
      </c>
      <c r="F86" s="214" t="s">
        <v>181</v>
      </c>
      <c r="G86" s="215" t="s">
        <v>69</v>
      </c>
      <c r="H86" s="229">
        <f t="shared" si="23"/>
        <v>9.1666666666666665E-4</v>
      </c>
      <c r="I86" s="230">
        <f>(SUM('1.  LRAMVA Summary'!D$54:D$65)+SUM('1.  LRAMVA Summary'!D$66:D$67)*(MONTH($E86)-1)/12)*$H86</f>
        <v>-0.68577876736110976</v>
      </c>
      <c r="J86" s="230">
        <f>(SUM('1.  LRAMVA Summary'!E$54:E$65)+SUM('1.  LRAMVA Summary'!E$66:E$67)*(MONTH($E86)-1)/12)*$H86</f>
        <v>2.9877760230694443</v>
      </c>
      <c r="K86" s="230">
        <f>(SUM('1.  LRAMVA Summary'!F$54:F$65)+SUM('1.  LRAMVA Summary'!F$66:F$67)*(MONTH($E86)-1)/12)*$H86</f>
        <v>-4.4195718875000001</v>
      </c>
      <c r="L86" s="230">
        <f>(SUM('1.  LRAMVA Summary'!G$54:G$65)+SUM('1.  LRAMVA Summary'!G$66:G$67)*(MONTH($E86)-1)/12)*$H86</f>
        <v>11.843523902222227</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9.7259492704305615</v>
      </c>
    </row>
    <row r="87" spans="2:23" s="9" customFormat="1" ht="15" thickBot="1">
      <c r="B87" s="66"/>
      <c r="E87" s="216" t="s">
        <v>465</v>
      </c>
      <c r="F87" s="216"/>
      <c r="G87" s="217"/>
      <c r="H87" s="218"/>
      <c r="I87" s="219">
        <f>SUM(I74:I86)</f>
        <v>-4.04109384687498</v>
      </c>
      <c r="J87" s="219">
        <f>SUM(J74:J86)</f>
        <v>63.711368550012502</v>
      </c>
      <c r="K87" s="219">
        <f t="shared" ref="K87:O87" si="24">SUM(K74:K86)</f>
        <v>-61.616412742499982</v>
      </c>
      <c r="L87" s="219">
        <f t="shared" si="24"/>
        <v>333.36307516225003</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331.41693712288759</v>
      </c>
    </row>
    <row r="88" spans="2:23" s="9" customFormat="1" ht="1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-4.04109384687498</v>
      </c>
      <c r="J89" s="228">
        <f t="shared" ref="J89" si="26">J87+J88</f>
        <v>63.711368550012502</v>
      </c>
      <c r="K89" s="228">
        <f t="shared" ref="K89" si="27">K87+K88</f>
        <v>-61.616412742499982</v>
      </c>
      <c r="L89" s="228">
        <f t="shared" ref="L89" si="28">L87+L88</f>
        <v>333.36307516225003</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331.41693712288759</v>
      </c>
    </row>
    <row r="90" spans="2:23" s="9" customFormat="1">
      <c r="B90" s="66"/>
      <c r="E90" s="214">
        <v>42370</v>
      </c>
      <c r="F90" s="214" t="s">
        <v>183</v>
      </c>
      <c r="G90" s="215" t="s">
        <v>65</v>
      </c>
      <c r="H90" s="229">
        <f>$C$35/12</f>
        <v>9.1666666666666665E-4</v>
      </c>
      <c r="I90" s="230">
        <f>(SUM('1.  LRAMVA Summary'!D$54:D$68)+SUM('1.  LRAMVA Summary'!D$69:D$70)*(MONTH($E90)-1)/12)*$H90</f>
        <v>-0.66275302499999855</v>
      </c>
      <c r="J90" s="230">
        <f>(SUM('1.  LRAMVA Summary'!E$54:E$68)+SUM('1.  LRAMVA Summary'!E$69:E$70)*(MONTH($E90)-1)/12)*$H90</f>
        <v>3.0965001319999996</v>
      </c>
      <c r="K90" s="230">
        <f>(SUM('1.  LRAMVA Summary'!F$54:F$68)+SUM('1.  LRAMVA Summary'!F$69:F$70)*(MONTH($E90)-1)/12)*$H90</f>
        <v>-4.6002899249999993</v>
      </c>
      <c r="L90" s="230">
        <f>(SUM('1.  LRAMVA Summary'!G$54:G$68)+SUM('1.  LRAMVA Summary'!G$69:G$70)*(MONTH($E90)-1)/12)*$H90</f>
        <v>12.036043855000004</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9.8695010370000062</v>
      </c>
    </row>
    <row r="91" spans="2:23" s="9" customFormat="1">
      <c r="B91" s="66"/>
      <c r="E91" s="214">
        <v>42401</v>
      </c>
      <c r="F91" s="214" t="s">
        <v>183</v>
      </c>
      <c r="G91" s="215" t="s">
        <v>65</v>
      </c>
      <c r="H91" s="229">
        <f t="shared" ref="H91:H92" si="34">$C$35/12</f>
        <v>9.1666666666666665E-4</v>
      </c>
      <c r="I91" s="230">
        <f>(SUM('1.  LRAMVA Summary'!D$54:D$68)+SUM('1.  LRAMVA Summary'!D$69:D$70)*(MONTH($E91)-1)/12)*$H91</f>
        <v>-0.21112770555555413</v>
      </c>
      <c r="J91" s="230">
        <f>(SUM('1.  LRAMVA Summary'!E$54:E$68)+SUM('1.  LRAMVA Summary'!E$69:E$70)*(MONTH($E91)-1)/12)*$H91</f>
        <v>3.255021915444444</v>
      </c>
      <c r="K91" s="230">
        <f>(SUM('1.  LRAMVA Summary'!F$54:F$68)+SUM('1.  LRAMVA Summary'!F$69:F$70)*(MONTH($E91)-1)/12)*$H91</f>
        <v>-4.7838620692499996</v>
      </c>
      <c r="L91" s="230">
        <f>(SUM('1.  LRAMVA Summary'!G$54:G$68)+SUM('1.  LRAMVA Summary'!G$69:G$70)*(MONTH($E91)-1)/12)*$H91</f>
        <v>12.225020902722227</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10.485053043361116</v>
      </c>
    </row>
    <row r="92" spans="2:23" s="9" customFormat="1" ht="14.25" customHeight="1">
      <c r="B92" s="66"/>
      <c r="E92" s="214">
        <v>42430</v>
      </c>
      <c r="F92" s="214" t="s">
        <v>183</v>
      </c>
      <c r="G92" s="215" t="s">
        <v>65</v>
      </c>
      <c r="H92" s="229">
        <f t="shared" si="34"/>
        <v>9.1666666666666665E-4</v>
      </c>
      <c r="I92" s="230">
        <f>(SUM('1.  LRAMVA Summary'!D$54:D$68)+SUM('1.  LRAMVA Summary'!D$69:D$70)*(MONTH($E92)-1)/12)*$H92</f>
        <v>0.24049761388889035</v>
      </c>
      <c r="J92" s="230">
        <f>(SUM('1.  LRAMVA Summary'!E$54:E$68)+SUM('1.  LRAMVA Summary'!E$69:E$70)*(MONTH($E92)-1)/12)*$H92</f>
        <v>3.4135436988888883</v>
      </c>
      <c r="K92" s="230">
        <f>(SUM('1.  LRAMVA Summary'!F$54:F$68)+SUM('1.  LRAMVA Summary'!F$69:F$70)*(MONTH($E92)-1)/12)*$H92</f>
        <v>-4.9674342134999998</v>
      </c>
      <c r="L92" s="230">
        <f>(SUM('1.  LRAMVA Summary'!G$54:G$68)+SUM('1.  LRAMVA Summary'!G$69:G$70)*(MONTH($E92)-1)/12)*$H92</f>
        <v>12.413997950444449</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11.100605049722228</v>
      </c>
    </row>
    <row r="93" spans="2:23" s="8" customFormat="1">
      <c r="B93" s="239"/>
      <c r="D93" s="9"/>
      <c r="E93" s="214">
        <v>42461</v>
      </c>
      <c r="F93" s="214" t="s">
        <v>183</v>
      </c>
      <c r="G93" s="215" t="s">
        <v>66</v>
      </c>
      <c r="H93" s="229">
        <f>$C$36/12</f>
        <v>9.1666666666666665E-4</v>
      </c>
      <c r="I93" s="230">
        <f>(SUM('1.  LRAMVA Summary'!D$54:D$68)+SUM('1.  LRAMVA Summary'!D$69:D$70)*(MONTH($E93)-1)/12)*$H93</f>
        <v>0.69212293333333486</v>
      </c>
      <c r="J93" s="230">
        <f>(SUM('1.  LRAMVA Summary'!E$54:E$68)+SUM('1.  LRAMVA Summary'!E$69:E$70)*(MONTH($E93)-1)/12)*$H93</f>
        <v>3.5720654823333327</v>
      </c>
      <c r="K93" s="230">
        <f>(SUM('1.  LRAMVA Summary'!F$54:F$68)+SUM('1.  LRAMVA Summary'!F$69:F$70)*(MONTH($E93)-1)/12)*$H93</f>
        <v>-5.1510063577499992</v>
      </c>
      <c r="L93" s="230">
        <f>(SUM('1.  LRAMVA Summary'!G$54:G$68)+SUM('1.  LRAMVA Summary'!G$69:G$70)*(MONTH($E93)-1)/12)*$H93</f>
        <v>12.602974998166669</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11.716157056083336</v>
      </c>
    </row>
    <row r="94" spans="2:23" s="9" customFormat="1">
      <c r="B94" s="66"/>
      <c r="E94" s="214">
        <v>42491</v>
      </c>
      <c r="F94" s="214" t="s">
        <v>183</v>
      </c>
      <c r="G94" s="215" t="s">
        <v>66</v>
      </c>
      <c r="H94" s="229">
        <f t="shared" ref="H94:H95" si="36">$C$36/12</f>
        <v>9.1666666666666665E-4</v>
      </c>
      <c r="I94" s="230">
        <f>(SUM('1.  LRAMVA Summary'!D$54:D$68)+SUM('1.  LRAMVA Summary'!D$69:D$70)*(MONTH($E94)-1)/12)*$H94</f>
        <v>1.1437482527777794</v>
      </c>
      <c r="J94" s="230">
        <f>(SUM('1.  LRAMVA Summary'!E$54:E$68)+SUM('1.  LRAMVA Summary'!E$69:E$70)*(MONTH($E94)-1)/12)*$H94</f>
        <v>3.7305872657777774</v>
      </c>
      <c r="K94" s="230">
        <f>(SUM('1.  LRAMVA Summary'!F$54:F$68)+SUM('1.  LRAMVA Summary'!F$69:F$70)*(MONTH($E94)-1)/12)*$H94</f>
        <v>-5.3345785019999994</v>
      </c>
      <c r="L94" s="230">
        <f>(SUM('1.  LRAMVA Summary'!G$54:G$68)+SUM('1.  LRAMVA Summary'!G$69:G$70)*(MONTH($E94)-1)/12)*$H94</f>
        <v>12.791952045888893</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12.33170906244445</v>
      </c>
    </row>
    <row r="95" spans="2:23" s="238" customFormat="1">
      <c r="B95" s="237"/>
      <c r="D95" s="9"/>
      <c r="E95" s="214">
        <v>42522</v>
      </c>
      <c r="F95" s="214" t="s">
        <v>183</v>
      </c>
      <c r="G95" s="215" t="s">
        <v>66</v>
      </c>
      <c r="H95" s="229">
        <f t="shared" si="36"/>
        <v>9.1666666666666665E-4</v>
      </c>
      <c r="I95" s="230">
        <f>(SUM('1.  LRAMVA Summary'!D$54:D$68)+SUM('1.  LRAMVA Summary'!D$69:D$70)*(MONTH($E95)-1)/12)*$H95</f>
        <v>1.595373572222224</v>
      </c>
      <c r="J95" s="230">
        <f>(SUM('1.  LRAMVA Summary'!E$54:E$68)+SUM('1.  LRAMVA Summary'!E$69:E$70)*(MONTH($E95)-1)/12)*$H95</f>
        <v>3.8891090492222213</v>
      </c>
      <c r="K95" s="230">
        <f>(SUM('1.  LRAMVA Summary'!F$54:F$68)+SUM('1.  LRAMVA Summary'!F$69:F$70)*(MONTH($E95)-1)/12)*$H95</f>
        <v>-5.5181506462499996</v>
      </c>
      <c r="L95" s="230">
        <f>(SUM('1.  LRAMVA Summary'!G$54:G$68)+SUM('1.  LRAMVA Summary'!G$69:G$70)*(MONTH($E95)-1)/12)*$H95</f>
        <v>12.980929093611117</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12.947261068805563</v>
      </c>
    </row>
    <row r="96" spans="2:23" s="9" customFormat="1">
      <c r="B96" s="66"/>
      <c r="E96" s="214">
        <v>42552</v>
      </c>
      <c r="F96" s="214" t="s">
        <v>183</v>
      </c>
      <c r="G96" s="215" t="s">
        <v>68</v>
      </c>
      <c r="H96" s="229">
        <f>$C$37/12</f>
        <v>9.1666666666666665E-4</v>
      </c>
      <c r="I96" s="230">
        <f>(SUM('1.  LRAMVA Summary'!D$54:D$68)+SUM('1.  LRAMVA Summary'!D$69:D$70)*(MONTH($E96)-1)/12)*$H96</f>
        <v>2.0469988916666684</v>
      </c>
      <c r="J96" s="230">
        <f>(SUM('1.  LRAMVA Summary'!E$54:E$68)+SUM('1.  LRAMVA Summary'!E$69:E$70)*(MONTH($E96)-1)/12)*$H96</f>
        <v>4.0476308326666661</v>
      </c>
      <c r="K96" s="230">
        <f>(SUM('1.  LRAMVA Summary'!F$54:F$68)+SUM('1.  LRAMVA Summary'!F$69:F$70)*(MONTH($E96)-1)/12)*$H96</f>
        <v>-5.7017227904999999</v>
      </c>
      <c r="L96" s="230">
        <f>(SUM('1.  LRAMVA Summary'!G$54:G$68)+SUM('1.  LRAMVA Summary'!G$69:G$70)*(MONTH($E96)-1)/12)*$H96</f>
        <v>13.169906141333337</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13.562813075166671</v>
      </c>
    </row>
    <row r="97" spans="2:23" s="9" customFormat="1">
      <c r="B97" s="66"/>
      <c r="E97" s="214">
        <v>42583</v>
      </c>
      <c r="F97" s="214" t="s">
        <v>183</v>
      </c>
      <c r="G97" s="215" t="s">
        <v>68</v>
      </c>
      <c r="H97" s="229">
        <f t="shared" ref="H97:H98" si="37">$C$37/12</f>
        <v>9.1666666666666665E-4</v>
      </c>
      <c r="I97" s="230">
        <f>(SUM('1.  LRAMVA Summary'!D$54:D$68)+SUM('1.  LRAMVA Summary'!D$69:D$70)*(MONTH($E97)-1)/12)*$H97</f>
        <v>2.4986242111111125</v>
      </c>
      <c r="J97" s="230">
        <f>(SUM('1.  LRAMVA Summary'!E$54:E$68)+SUM('1.  LRAMVA Summary'!E$69:E$70)*(MONTH($E97)-1)/12)*$H97</f>
        <v>4.2061526161111109</v>
      </c>
      <c r="K97" s="230">
        <f>(SUM('1.  LRAMVA Summary'!F$54:F$68)+SUM('1.  LRAMVA Summary'!F$69:F$70)*(MONTH($E97)-1)/12)*$H97</f>
        <v>-5.8852949347500001</v>
      </c>
      <c r="L97" s="230">
        <f>(SUM('1.  LRAMVA Summary'!G$54:G$68)+SUM('1.  LRAMVA Summary'!G$69:G$70)*(MONTH($E97)-1)/12)*$H97</f>
        <v>13.358883189055559</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14.178365081527783</v>
      </c>
    </row>
    <row r="98" spans="2:23" s="9" customFormat="1">
      <c r="B98" s="66"/>
      <c r="E98" s="214">
        <v>42614</v>
      </c>
      <c r="F98" s="214" t="s">
        <v>183</v>
      </c>
      <c r="G98" s="215" t="s">
        <v>68</v>
      </c>
      <c r="H98" s="229">
        <f t="shared" si="37"/>
        <v>9.1666666666666665E-4</v>
      </c>
      <c r="I98" s="230">
        <f>(SUM('1.  LRAMVA Summary'!D$54:D$68)+SUM('1.  LRAMVA Summary'!D$69:D$70)*(MONTH($E98)-1)/12)*$H98</f>
        <v>2.9502495305555572</v>
      </c>
      <c r="J98" s="230">
        <f>(SUM('1.  LRAMVA Summary'!E$54:E$68)+SUM('1.  LRAMVA Summary'!E$69:E$70)*(MONTH($E98)-1)/12)*$H98</f>
        <v>4.3646743995555557</v>
      </c>
      <c r="K98" s="230">
        <f>(SUM('1.  LRAMVA Summary'!F$54:F$68)+SUM('1.  LRAMVA Summary'!F$69:F$70)*(MONTH($E98)-1)/12)*$H98</f>
        <v>-6.0688670790000003</v>
      </c>
      <c r="L98" s="230">
        <f>(SUM('1.  LRAMVA Summary'!G$54:G$68)+SUM('1.  LRAMVA Summary'!G$69:G$70)*(MONTH($E98)-1)/12)*$H98</f>
        <v>13.547860236777781</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14.793917087888893</v>
      </c>
    </row>
    <row r="99" spans="2:23" s="9" customFormat="1">
      <c r="B99" s="66"/>
      <c r="E99" s="214">
        <v>42644</v>
      </c>
      <c r="F99" s="214" t="s">
        <v>183</v>
      </c>
      <c r="G99" s="215" t="s">
        <v>69</v>
      </c>
      <c r="H99" s="210">
        <f>$C$38/12</f>
        <v>9.1666666666666665E-4</v>
      </c>
      <c r="I99" s="230">
        <f>(SUM('1.  LRAMVA Summary'!D$54:D$68)+SUM('1.  LRAMVA Summary'!D$69:D$70)*(MONTH($E99)-1)/12)*$H99</f>
        <v>3.4018748500000013</v>
      </c>
      <c r="J99" s="230">
        <f>(SUM('1.  LRAMVA Summary'!E$54:E$68)+SUM('1.  LRAMVA Summary'!E$69:E$70)*(MONTH($E99)-1)/12)*$H99</f>
        <v>4.5231961829999996</v>
      </c>
      <c r="K99" s="230">
        <f>(SUM('1.  LRAMVA Summary'!F$54:F$68)+SUM('1.  LRAMVA Summary'!F$69:F$70)*(MONTH($E99)-1)/12)*$H99</f>
        <v>-6.2524392232500006</v>
      </c>
      <c r="L99" s="230">
        <f>(SUM('1.  LRAMVA Summary'!G$54:G$68)+SUM('1.  LRAMVA Summary'!G$69:G$70)*(MONTH($E99)-1)/12)*$H99</f>
        <v>13.736837284500005</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15.409469094250007</v>
      </c>
    </row>
    <row r="100" spans="2:23" s="9" customFormat="1">
      <c r="B100" s="66"/>
      <c r="E100" s="214">
        <v>42675</v>
      </c>
      <c r="F100" s="214" t="s">
        <v>183</v>
      </c>
      <c r="G100" s="215" t="s">
        <v>69</v>
      </c>
      <c r="H100" s="210">
        <f t="shared" ref="H100:H101" si="38">$C$38/12</f>
        <v>9.1666666666666665E-4</v>
      </c>
      <c r="I100" s="230">
        <f>(SUM('1.  LRAMVA Summary'!D$54:D$68)+SUM('1.  LRAMVA Summary'!D$69:D$70)*(MONTH($E100)-1)/12)*$H100</f>
        <v>3.8535001694444468</v>
      </c>
      <c r="J100" s="230">
        <f>(SUM('1.  LRAMVA Summary'!E$54:E$68)+SUM('1.  LRAMVA Summary'!E$69:E$70)*(MONTH($E100)-1)/12)*$H100</f>
        <v>4.6817179664444444</v>
      </c>
      <c r="K100" s="230">
        <f>(SUM('1.  LRAMVA Summary'!F$54:F$68)+SUM('1.  LRAMVA Summary'!F$69:F$70)*(MONTH($E100)-1)/12)*$H100</f>
        <v>-6.436011367499999</v>
      </c>
      <c r="L100" s="230">
        <f>(SUM('1.  LRAMVA Summary'!G$54:G$68)+SUM('1.  LRAMVA Summary'!G$69:G$70)*(MONTH($E100)-1)/12)*$H100</f>
        <v>13.925814332222226</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16.02502110061112</v>
      </c>
    </row>
    <row r="101" spans="2:23" s="9" customFormat="1">
      <c r="B101" s="66"/>
      <c r="E101" s="214">
        <v>42705</v>
      </c>
      <c r="F101" s="214" t="s">
        <v>183</v>
      </c>
      <c r="G101" s="215" t="s">
        <v>69</v>
      </c>
      <c r="H101" s="210">
        <f t="shared" si="38"/>
        <v>9.1666666666666665E-4</v>
      </c>
      <c r="I101" s="230">
        <f>(SUM('1.  LRAMVA Summary'!D$54:D$68)+SUM('1.  LRAMVA Summary'!D$69:D$70)*(MONTH($E101)-1)/12)*$H101</f>
        <v>4.3051254888888906</v>
      </c>
      <c r="J101" s="230">
        <f>(SUM('1.  LRAMVA Summary'!E$54:E$68)+SUM('1.  LRAMVA Summary'!E$69:E$70)*(MONTH($E101)-1)/12)*$H101</f>
        <v>4.8402397498888883</v>
      </c>
      <c r="K101" s="230">
        <f>(SUM('1.  LRAMVA Summary'!F$54:F$68)+SUM('1.  LRAMVA Summary'!F$69:F$70)*(MONTH($E101)-1)/12)*$H101</f>
        <v>-6.6195835117499993</v>
      </c>
      <c r="L101" s="230">
        <f>(SUM('1.  LRAMVA Summary'!G$54:G$68)+SUM('1.  LRAMVA Summary'!G$69:G$70)*(MONTH($E101)-1)/12)*$H101</f>
        <v>14.114791379944448</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16.640573106972226</v>
      </c>
    </row>
    <row r="102" spans="2:23" s="9" customFormat="1" ht="15" thickBot="1">
      <c r="B102" s="66"/>
      <c r="E102" s="216" t="s">
        <v>466</v>
      </c>
      <c r="F102" s="216"/>
      <c r="G102" s="217"/>
      <c r="H102" s="218"/>
      <c r="I102" s="219">
        <f>SUM(I89:I101)</f>
        <v>17.813140936458375</v>
      </c>
      <c r="J102" s="219">
        <f>SUM(J89:J101)</f>
        <v>111.33180784134582</v>
      </c>
      <c r="K102" s="219">
        <f t="shared" ref="K102:O102" si="39">SUM(K89:K101)</f>
        <v>-128.93565336300003</v>
      </c>
      <c r="L102" s="219">
        <f t="shared" si="39"/>
        <v>490.26808657191674</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490.47738198672101</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17.813140936458375</v>
      </c>
      <c r="J104" s="228">
        <f t="shared" ref="J104" si="41">J102+J103</f>
        <v>111.33180784134582</v>
      </c>
      <c r="K104" s="228">
        <f t="shared" ref="K104" si="42">K102+K103</f>
        <v>-128.93565336300003</v>
      </c>
      <c r="L104" s="228">
        <f t="shared" ref="L104" si="43">L102+L103</f>
        <v>490.26808657191674</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490.47738198672101</v>
      </c>
    </row>
    <row r="105" spans="2:23" s="9" customFormat="1">
      <c r="B105" s="66"/>
      <c r="E105" s="214">
        <v>42736</v>
      </c>
      <c r="F105" s="214" t="s">
        <v>184</v>
      </c>
      <c r="G105" s="215" t="s">
        <v>65</v>
      </c>
      <c r="H105" s="240">
        <f>$C$39/12</f>
        <v>9.1666666666666665E-4</v>
      </c>
      <c r="I105" s="230">
        <f>(SUM('1.  LRAMVA Summary'!D$54:D$71)+SUM('1.  LRAMVA Summary'!D$72:D$73)*(MONTH($E105)-1)/12)*$H105</f>
        <v>4.7567508083333347</v>
      </c>
      <c r="J105" s="230">
        <f>(SUM('1.  LRAMVA Summary'!E$54:E$71)+SUM('1.  LRAMVA Summary'!E$72:E$73)*(MONTH($E105)-1)/12)*$H105</f>
        <v>4.9987615333333331</v>
      </c>
      <c r="K105" s="230">
        <f>(SUM('1.  LRAMVA Summary'!F$54:F$71)+SUM('1.  LRAMVA Summary'!F$72:F$73)*(MONTH($E105)-1)/12)*$H105</f>
        <v>-6.8031556559999986</v>
      </c>
      <c r="L105" s="230">
        <f>(SUM('1.  LRAMVA Summary'!G$54:G$71)+SUM('1.  LRAMVA Summary'!G$72:G$73)*(MONTH($E105)-1)/12)*$H105</f>
        <v>14.303768427666672</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17.25612511333334</v>
      </c>
    </row>
    <row r="106" spans="2:23" s="9" customFormat="1">
      <c r="B106" s="66"/>
      <c r="E106" s="214">
        <v>42767</v>
      </c>
      <c r="F106" s="214" t="s">
        <v>184</v>
      </c>
      <c r="G106" s="215" t="s">
        <v>65</v>
      </c>
      <c r="H106" s="240">
        <f t="shared" ref="H106:H107" si="48">$C$39/12</f>
        <v>9.1666666666666665E-4</v>
      </c>
      <c r="I106" s="230">
        <f>(SUM('1.  LRAMVA Summary'!D$54:D$71)+SUM('1.  LRAMVA Summary'!D$72:D$73)*(MONTH($E106)-1)/12)*$H106</f>
        <v>5.664609438888891</v>
      </c>
      <c r="J106" s="230">
        <f>(SUM('1.  LRAMVA Summary'!E$54:E$71)+SUM('1.  LRAMVA Summary'!E$72:E$73)*(MONTH($E106)-1)/12)*$H106</f>
        <v>5.3398177958888882</v>
      </c>
      <c r="K106" s="230">
        <f>(SUM('1.  LRAMVA Summary'!F$54:F$71)+SUM('1.  LRAMVA Summary'!F$72:F$73)*(MONTH($E106)-1)/12)*$H106</f>
        <v>-6.9494100389999991</v>
      </c>
      <c r="L106" s="230">
        <f>(SUM('1.  LRAMVA Summary'!G$54:G$71)+SUM('1.  LRAMVA Summary'!G$72:G$73)*(MONTH($E106)-1)/12)*$H106</f>
        <v>14.424494884861117</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18.479512080638898</v>
      </c>
    </row>
    <row r="107" spans="2:23" s="9" customFormat="1">
      <c r="B107" s="66"/>
      <c r="E107" s="214">
        <v>42795</v>
      </c>
      <c r="F107" s="214" t="s">
        <v>184</v>
      </c>
      <c r="G107" s="215" t="s">
        <v>65</v>
      </c>
      <c r="H107" s="240">
        <f t="shared" si="48"/>
        <v>9.1666666666666665E-4</v>
      </c>
      <c r="I107" s="230">
        <f>(SUM('1.  LRAMVA Summary'!D$54:D$71)+SUM('1.  LRAMVA Summary'!D$72:D$73)*(MONTH($E107)-1)/12)*$H107</f>
        <v>6.5724680694444464</v>
      </c>
      <c r="J107" s="230">
        <f>(SUM('1.  LRAMVA Summary'!E$54:E$71)+SUM('1.  LRAMVA Summary'!E$72:E$73)*(MONTH($E107)-1)/12)*$H107</f>
        <v>5.6808740584444442</v>
      </c>
      <c r="K107" s="230">
        <f>(SUM('1.  LRAMVA Summary'!F$54:F$71)+SUM('1.  LRAMVA Summary'!F$72:F$73)*(MONTH($E107)-1)/12)*$H107</f>
        <v>-7.0956644219999987</v>
      </c>
      <c r="L107" s="230">
        <f>(SUM('1.  LRAMVA Summary'!G$54:G$71)+SUM('1.  LRAMVA Summary'!G$72:G$73)*(MONTH($E107)-1)/12)*$H107</f>
        <v>14.54522134205556</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19.702899047944452</v>
      </c>
    </row>
    <row r="108" spans="2:23" s="8" customFormat="1">
      <c r="B108" s="239"/>
      <c r="E108" s="214">
        <v>42826</v>
      </c>
      <c r="F108" s="214" t="s">
        <v>184</v>
      </c>
      <c r="G108" s="215" t="s">
        <v>66</v>
      </c>
      <c r="H108" s="240">
        <f>$C$40/12</f>
        <v>9.1666666666666665E-4</v>
      </c>
      <c r="I108" s="230">
        <f>(SUM('1.  LRAMVA Summary'!D$54:D$71)+SUM('1.  LRAMVA Summary'!D$72:D$73)*(MONTH($E108)-1)/12)*$H108</f>
        <v>7.4803267000000018</v>
      </c>
      <c r="J108" s="230">
        <f>(SUM('1.  LRAMVA Summary'!E$54:E$71)+SUM('1.  LRAMVA Summary'!E$72:E$73)*(MONTH($E108)-1)/12)*$H108</f>
        <v>6.0219303209999993</v>
      </c>
      <c r="K108" s="230">
        <f>(SUM('1.  LRAMVA Summary'!F$54:F$71)+SUM('1.  LRAMVA Summary'!F$72:F$73)*(MONTH($E108)-1)/12)*$H108</f>
        <v>-7.2419188049999992</v>
      </c>
      <c r="L108" s="230">
        <f>(SUM('1.  LRAMVA Summary'!G$54:G$71)+SUM('1.  LRAMVA Summary'!G$72:G$73)*(MONTH($E108)-1)/12)*$H108</f>
        <v>14.665947799250006</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20.926286015250007</v>
      </c>
    </row>
    <row r="109" spans="2:23" s="9" customFormat="1">
      <c r="B109" s="66"/>
      <c r="E109" s="214">
        <v>42856</v>
      </c>
      <c r="F109" s="214" t="s">
        <v>184</v>
      </c>
      <c r="G109" s="215" t="s">
        <v>66</v>
      </c>
      <c r="H109" s="240">
        <f t="shared" ref="H109:H110" si="50">$C$40/12</f>
        <v>9.1666666666666665E-4</v>
      </c>
      <c r="I109" s="230">
        <f>(SUM('1.  LRAMVA Summary'!D$54:D$71)+SUM('1.  LRAMVA Summary'!D$72:D$73)*(MONTH($E109)-1)/12)*$H109</f>
        <v>8.388185330555558</v>
      </c>
      <c r="J109" s="230">
        <f>(SUM('1.  LRAMVA Summary'!E$54:E$71)+SUM('1.  LRAMVA Summary'!E$72:E$73)*(MONTH($E109)-1)/12)*$H109</f>
        <v>6.3629865835555552</v>
      </c>
      <c r="K109" s="230">
        <f>(SUM('1.  LRAMVA Summary'!F$54:F$71)+SUM('1.  LRAMVA Summary'!F$72:F$73)*(MONTH($E109)-1)/12)*$H109</f>
        <v>-7.3881731879999988</v>
      </c>
      <c r="L109" s="230">
        <f>(SUM('1.  LRAMVA Summary'!G$54:G$71)+SUM('1.  LRAMVA Summary'!G$72:G$73)*(MONTH($E109)-1)/12)*$H109</f>
        <v>14.786674256444451</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22.149672982555565</v>
      </c>
    </row>
    <row r="110" spans="2:23" s="238" customFormat="1">
      <c r="B110" s="237"/>
      <c r="E110" s="214">
        <v>42887</v>
      </c>
      <c r="F110" s="214" t="s">
        <v>184</v>
      </c>
      <c r="G110" s="215" t="s">
        <v>66</v>
      </c>
      <c r="H110" s="240">
        <f t="shared" si="50"/>
        <v>9.1666666666666665E-4</v>
      </c>
      <c r="I110" s="230">
        <f>(SUM('1.  LRAMVA Summary'!D$54:D$71)+SUM('1.  LRAMVA Summary'!D$72:D$73)*(MONTH($E110)-1)/12)*$H110</f>
        <v>9.2960439611111116</v>
      </c>
      <c r="J110" s="230">
        <f>(SUM('1.  LRAMVA Summary'!E$54:E$71)+SUM('1.  LRAMVA Summary'!E$72:E$73)*(MONTH($E110)-1)/12)*$H110</f>
        <v>6.7040428461111112</v>
      </c>
      <c r="K110" s="230">
        <f>(SUM('1.  LRAMVA Summary'!F$54:F$71)+SUM('1.  LRAMVA Summary'!F$72:F$73)*(MONTH($E110)-1)/12)*$H110</f>
        <v>-7.5344275709999984</v>
      </c>
      <c r="L110" s="230">
        <f>(SUM('1.  LRAMVA Summary'!G$54:G$71)+SUM('1.  LRAMVA Summary'!G$72:G$73)*(MONTH($E110)-1)/12)*$H110</f>
        <v>14.907400713638895</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23.373059949861123</v>
      </c>
    </row>
    <row r="111" spans="2:23" s="9" customFormat="1">
      <c r="B111" s="66"/>
      <c r="E111" s="214">
        <v>42917</v>
      </c>
      <c r="F111" s="214" t="s">
        <v>184</v>
      </c>
      <c r="G111" s="215" t="s">
        <v>68</v>
      </c>
      <c r="H111" s="240">
        <f>$C$41/12</f>
        <v>9.1666666666666665E-4</v>
      </c>
      <c r="I111" s="230">
        <f>(SUM('1.  LRAMVA Summary'!D$54:D$71)+SUM('1.  LRAMVA Summary'!D$72:D$73)*(MONTH($E111)-1)/12)*$H111</f>
        <v>10.203902591666671</v>
      </c>
      <c r="J111" s="230">
        <f>(SUM('1.  LRAMVA Summary'!E$54:E$71)+SUM('1.  LRAMVA Summary'!E$72:E$73)*(MONTH($E111)-1)/12)*$H111</f>
        <v>7.0450991086666654</v>
      </c>
      <c r="K111" s="230">
        <f>(SUM('1.  LRAMVA Summary'!F$54:F$71)+SUM('1.  LRAMVA Summary'!F$72:F$73)*(MONTH($E111)-1)/12)*$H111</f>
        <v>-7.6806819539999989</v>
      </c>
      <c r="L111" s="230">
        <f>(SUM('1.  LRAMVA Summary'!G$54:G$71)+SUM('1.  LRAMVA Summary'!G$72:G$73)*(MONTH($E111)-1)/12)*$H111</f>
        <v>15.02812717083334</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24.596446917166681</v>
      </c>
    </row>
    <row r="112" spans="2:23" s="9" customFormat="1">
      <c r="B112" s="66"/>
      <c r="E112" s="214">
        <v>42948</v>
      </c>
      <c r="F112" s="214" t="s">
        <v>184</v>
      </c>
      <c r="G112" s="215" t="s">
        <v>68</v>
      </c>
      <c r="H112" s="240">
        <f t="shared" ref="H112:H113" si="51">$C$41/12</f>
        <v>9.1666666666666665E-4</v>
      </c>
      <c r="I112" s="230">
        <f>(SUM('1.  LRAMVA Summary'!D$54:D$71)+SUM('1.  LRAMVA Summary'!D$72:D$73)*(MONTH($E112)-1)/12)*$H112</f>
        <v>11.111761222222224</v>
      </c>
      <c r="J112" s="230">
        <f>(SUM('1.  LRAMVA Summary'!E$54:E$71)+SUM('1.  LRAMVA Summary'!E$72:E$73)*(MONTH($E112)-1)/12)*$H112</f>
        <v>7.3861553712222214</v>
      </c>
      <c r="K112" s="230">
        <f>(SUM('1.  LRAMVA Summary'!F$54:F$71)+SUM('1.  LRAMVA Summary'!F$72:F$73)*(MONTH($E112)-1)/12)*$H112</f>
        <v>-7.8269363369999985</v>
      </c>
      <c r="L112" s="230">
        <f>(SUM('1.  LRAMVA Summary'!G$54:G$71)+SUM('1.  LRAMVA Summary'!G$72:G$73)*(MONTH($E112)-1)/12)*$H112</f>
        <v>15.148853628027785</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25.819833884472231</v>
      </c>
    </row>
    <row r="113" spans="2:23" s="9" customFormat="1">
      <c r="B113" s="66"/>
      <c r="E113" s="214">
        <v>42979</v>
      </c>
      <c r="F113" s="214" t="s">
        <v>184</v>
      </c>
      <c r="G113" s="215" t="s">
        <v>68</v>
      </c>
      <c r="H113" s="240">
        <f t="shared" si="51"/>
        <v>9.1666666666666665E-4</v>
      </c>
      <c r="I113" s="230">
        <f>(SUM('1.  LRAMVA Summary'!D$54:D$71)+SUM('1.  LRAMVA Summary'!D$72:D$73)*(MONTH($E113)-1)/12)*$H113</f>
        <v>12.01961985277778</v>
      </c>
      <c r="J113" s="230">
        <f>(SUM('1.  LRAMVA Summary'!E$54:E$71)+SUM('1.  LRAMVA Summary'!E$72:E$73)*(MONTH($E113)-1)/12)*$H113</f>
        <v>7.7272116337777774</v>
      </c>
      <c r="K113" s="230">
        <f>(SUM('1.  LRAMVA Summary'!F$54:F$71)+SUM('1.  LRAMVA Summary'!F$72:F$73)*(MONTH($E113)-1)/12)*$H113</f>
        <v>-7.973190719999999</v>
      </c>
      <c r="L113" s="230">
        <f>(SUM('1.  LRAMVA Summary'!G$54:G$71)+SUM('1.  LRAMVA Summary'!G$72:G$73)*(MONTH($E113)-1)/12)*$H113</f>
        <v>15.269580085222227</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27.043220851777786</v>
      </c>
    </row>
    <row r="114" spans="2:23" s="9" customFormat="1">
      <c r="B114" s="66"/>
      <c r="E114" s="214">
        <v>43009</v>
      </c>
      <c r="F114" s="214" t="s">
        <v>184</v>
      </c>
      <c r="G114" s="215" t="s">
        <v>69</v>
      </c>
      <c r="H114" s="240">
        <f>$C$42/12</f>
        <v>1.25E-3</v>
      </c>
      <c r="I114" s="230">
        <f>(SUM('1.  LRAMVA Summary'!D$54:D$71)+SUM('1.  LRAMVA Summary'!D$72:D$73)*(MONTH($E114)-1)/12)*$H114</f>
        <v>17.628379750000004</v>
      </c>
      <c r="J114" s="230">
        <f>(SUM('1.  LRAMVA Summary'!E$54:E$71)+SUM('1.  LRAMVA Summary'!E$72:E$73)*(MONTH($E114)-1)/12)*$H114</f>
        <v>11.002183494999999</v>
      </c>
      <c r="K114" s="230">
        <f>(SUM('1.  LRAMVA Summary'!F$54:F$71)+SUM('1.  LRAMVA Summary'!F$72:F$73)*(MONTH($E114)-1)/12)*$H114</f>
        <v>-11.071970594999998</v>
      </c>
      <c r="L114" s="230">
        <f>(SUM('1.  LRAMVA Summary'!G$54:G$71)+SUM('1.  LRAMVA Summary'!G$72:G$73)*(MONTH($E114)-1)/12)*$H114</f>
        <v>20.986781648750007</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38.545374298750019</v>
      </c>
    </row>
    <row r="115" spans="2:23" s="9" customFormat="1">
      <c r="B115" s="66"/>
      <c r="E115" s="214">
        <v>43040</v>
      </c>
      <c r="F115" s="214" t="s">
        <v>184</v>
      </c>
      <c r="G115" s="215" t="s">
        <v>69</v>
      </c>
      <c r="H115" s="240">
        <f t="shared" ref="H115:H116" si="52">$C$42/12</f>
        <v>1.25E-3</v>
      </c>
      <c r="I115" s="230">
        <f>(SUM('1.  LRAMVA Summary'!D$54:D$71)+SUM('1.  LRAMVA Summary'!D$72:D$73)*(MONTH($E115)-1)/12)*$H115</f>
        <v>18.86636879166667</v>
      </c>
      <c r="J115" s="230">
        <f>(SUM('1.  LRAMVA Summary'!E$54:E$71)+SUM('1.  LRAMVA Summary'!E$72:E$73)*(MONTH($E115)-1)/12)*$H115</f>
        <v>11.467260216666666</v>
      </c>
      <c r="K115" s="230">
        <f>(SUM('1.  LRAMVA Summary'!F$54:F$71)+SUM('1.  LRAMVA Summary'!F$72:F$73)*(MONTH($E115)-1)/12)*$H115</f>
        <v>-11.271408389999999</v>
      </c>
      <c r="L115" s="230">
        <f>(SUM('1.  LRAMVA Summary'!G$54:G$71)+SUM('1.  LRAMVA Summary'!G$72:G$73)*(MONTH($E115)-1)/12)*$H115</f>
        <v>21.151408635833342</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40.213629254166676</v>
      </c>
    </row>
    <row r="116" spans="2:23" s="9" customFormat="1">
      <c r="B116" s="66"/>
      <c r="E116" s="214">
        <v>43070</v>
      </c>
      <c r="F116" s="214" t="s">
        <v>184</v>
      </c>
      <c r="G116" s="215" t="s">
        <v>69</v>
      </c>
      <c r="H116" s="240">
        <f t="shared" si="52"/>
        <v>1.25E-3</v>
      </c>
      <c r="I116" s="230">
        <f>(SUM('1.  LRAMVA Summary'!D$54:D$71)+SUM('1.  LRAMVA Summary'!D$72:D$73)*(MONTH($E116)-1)/12)*$H116</f>
        <v>20.104357833333339</v>
      </c>
      <c r="J116" s="230">
        <f>(SUM('1.  LRAMVA Summary'!E$54:E$71)+SUM('1.  LRAMVA Summary'!E$72:E$73)*(MONTH($E116)-1)/12)*$H116</f>
        <v>11.932336938333334</v>
      </c>
      <c r="K116" s="230">
        <f>(SUM('1.  LRAMVA Summary'!F$54:F$71)+SUM('1.  LRAMVA Summary'!F$72:F$73)*(MONTH($E116)-1)/12)*$H116</f>
        <v>-11.470846184999997</v>
      </c>
      <c r="L116" s="230">
        <f>(SUM('1.  LRAMVA Summary'!G$54:G$71)+SUM('1.  LRAMVA Summary'!G$72:G$73)*(MONTH($E116)-1)/12)*$H116</f>
        <v>21.316035622916676</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41.881884209583347</v>
      </c>
    </row>
    <row r="117" spans="2:23" s="9" customFormat="1" ht="15" thickBot="1">
      <c r="B117" s="66"/>
      <c r="E117" s="216" t="s">
        <v>467</v>
      </c>
      <c r="F117" s="216"/>
      <c r="G117" s="217"/>
      <c r="H117" s="218"/>
      <c r="I117" s="219">
        <f>SUM(I104:I116)</f>
        <v>149.90591528645842</v>
      </c>
      <c r="J117" s="219">
        <f>SUM(J104:J116)</f>
        <v>203.00046774334587</v>
      </c>
      <c r="K117" s="219">
        <f t="shared" ref="K117:O117" si="53">SUM(K104:K116)</f>
        <v>-229.24343722500004</v>
      </c>
      <c r="L117" s="219">
        <f t="shared" si="53"/>
        <v>686.80238078741706</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810.46532659222112</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149.90591528645842</v>
      </c>
      <c r="J119" s="228">
        <f t="shared" ref="J119" si="55">J117+J118</f>
        <v>203.00046774334587</v>
      </c>
      <c r="K119" s="228">
        <f t="shared" ref="K119" si="56">K117+K118</f>
        <v>-229.24343722500004</v>
      </c>
      <c r="L119" s="228">
        <f t="shared" ref="L119" si="57">L117+L118</f>
        <v>686.80238078741706</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810.46532659222112</v>
      </c>
    </row>
    <row r="120" spans="2:23" s="9" customFormat="1">
      <c r="B120" s="66"/>
      <c r="E120" s="214">
        <v>43101</v>
      </c>
      <c r="F120" s="214" t="s">
        <v>185</v>
      </c>
      <c r="G120" s="215" t="s">
        <v>65</v>
      </c>
      <c r="H120" s="240">
        <f>$C$43/12</f>
        <v>1.25E-3</v>
      </c>
      <c r="I120" s="230">
        <f>(SUM('1.  LRAMVA Summary'!D$54:D$74)+SUM('1.  LRAMVA Summary'!D$75:D$76)*(MONTH($E120)-1)/12)*$H120</f>
        <v>21.342346875000004</v>
      </c>
      <c r="J120" s="230">
        <f>(SUM('1.  LRAMVA Summary'!E$54:E$74)+SUM('1.  LRAMVA Summary'!E$75:E$76)*(MONTH($E120)-1)/12)*$H120</f>
        <v>12.397413659999998</v>
      </c>
      <c r="K120" s="230">
        <f>(SUM('1.  LRAMVA Summary'!F$54:F$74)+SUM('1.  LRAMVA Summary'!F$75:F$76)*(MONTH($E120)-1)/12)*$H120</f>
        <v>-11.670283979999999</v>
      </c>
      <c r="L120" s="230">
        <f>(SUM('1.  LRAMVA Summary'!G$54:G$74)+SUM('1.  LRAMVA Summary'!G$75:G$76)*(MONTH($E120)-1)/12)*$H120</f>
        <v>21.48066261000001</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43.550139165000012</v>
      </c>
    </row>
    <row r="121" spans="2:23" s="9" customFormat="1">
      <c r="B121" s="66"/>
      <c r="E121" s="214">
        <v>43132</v>
      </c>
      <c r="F121" s="214" t="s">
        <v>185</v>
      </c>
      <c r="G121" s="215" t="s">
        <v>65</v>
      </c>
      <c r="H121" s="240">
        <f t="shared" ref="H121:H122" si="62">$C$43/12</f>
        <v>1.25E-3</v>
      </c>
      <c r="I121" s="230">
        <f>(SUM('1.  LRAMVA Summary'!D$54:D$74)+SUM('1.  LRAMVA Summary'!D$75:D$76)*(MONTH($E121)-1)/12)*$H121</f>
        <v>21.950397083333339</v>
      </c>
      <c r="J121" s="230">
        <f>(SUM('1.  LRAMVA Summary'!E$54:E$74)+SUM('1.  LRAMVA Summary'!E$75:E$76)*(MONTH($E121)-1)/12)*$H121</f>
        <v>12.872697461666665</v>
      </c>
      <c r="K121" s="230">
        <f>(SUM('1.  LRAMVA Summary'!F$54:F$74)+SUM('1.  LRAMVA Summary'!F$75:F$76)*(MONTH($E121)-1)/12)*$H121</f>
        <v>-11.871976315</v>
      </c>
      <c r="L121" s="230">
        <f>(SUM('1.  LRAMVA Summary'!G$54:G$74)+SUM('1.  LRAMVA Summary'!G$75:G$76)*(MONTH($E121)-1)/12)*$H121</f>
        <v>21.647152333750011</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44.59827056375002</v>
      </c>
    </row>
    <row r="122" spans="2:23" s="9" customFormat="1">
      <c r="B122" s="66"/>
      <c r="E122" s="214">
        <v>43160</v>
      </c>
      <c r="F122" s="214" t="s">
        <v>185</v>
      </c>
      <c r="G122" s="215" t="s">
        <v>65</v>
      </c>
      <c r="H122" s="240">
        <f t="shared" si="62"/>
        <v>1.25E-3</v>
      </c>
      <c r="I122" s="230">
        <f>(SUM('1.  LRAMVA Summary'!D$54:D$74)+SUM('1.  LRAMVA Summary'!D$75:D$76)*(MONTH($E122)-1)/12)*$H122</f>
        <v>22.558447291666671</v>
      </c>
      <c r="J122" s="230">
        <f>(SUM('1.  LRAMVA Summary'!E$54:E$74)+SUM('1.  LRAMVA Summary'!E$75:E$76)*(MONTH($E122)-1)/12)*$H122</f>
        <v>13.347981263333331</v>
      </c>
      <c r="K122" s="230">
        <f>(SUM('1.  LRAMVA Summary'!F$54:F$74)+SUM('1.  LRAMVA Summary'!F$75:F$76)*(MONTH($E122)-1)/12)*$H122</f>
        <v>-12.07366865</v>
      </c>
      <c r="L122" s="230">
        <f>(SUM('1.  LRAMVA Summary'!G$54:G$74)+SUM('1.  LRAMVA Summary'!G$75:G$76)*(MONTH($E122)-1)/12)*$H122</f>
        <v>21.813642057500012</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45.646401962500015</v>
      </c>
    </row>
    <row r="123" spans="2:23" s="8" customFormat="1">
      <c r="B123" s="239"/>
      <c r="E123" s="214">
        <v>43191</v>
      </c>
      <c r="F123" s="214" t="s">
        <v>185</v>
      </c>
      <c r="G123" s="215" t="s">
        <v>66</v>
      </c>
      <c r="H123" s="240">
        <f>$C$44/12</f>
        <v>1.575E-3</v>
      </c>
      <c r="I123" s="230">
        <f>(SUM('1.  LRAMVA Summary'!D$54:D$74)+SUM('1.  LRAMVA Summary'!D$75:D$76)*(MONTH($E123)-1)/12)*$H123</f>
        <v>29.189786850000008</v>
      </c>
      <c r="J123" s="230">
        <f>(SUM('1.  LRAMVA Summary'!E$54:E$74)+SUM('1.  LRAMVA Summary'!E$75:E$76)*(MONTH($E123)-1)/12)*$H123</f>
        <v>17.417313981899998</v>
      </c>
      <c r="K123" s="230">
        <f>(SUM('1.  LRAMVA Summary'!F$54:F$74)+SUM('1.  LRAMVA Summary'!F$75:F$76)*(MONTH($E123)-1)/12)*$H123</f>
        <v>-15.4669548411</v>
      </c>
      <c r="L123" s="230">
        <f>(SUM('1.  LRAMVA Summary'!G$54:G$74)+SUM('1.  LRAMVA Summary'!G$75:G$76)*(MONTH($E123)-1)/12)*$H123</f>
        <v>27.694966044375015</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58.835112035175023</v>
      </c>
    </row>
    <row r="124" spans="2:23" s="9" customFormat="1">
      <c r="B124" s="66"/>
      <c r="E124" s="214">
        <v>43221</v>
      </c>
      <c r="F124" s="214" t="s">
        <v>185</v>
      </c>
      <c r="G124" s="215" t="s">
        <v>66</v>
      </c>
      <c r="H124" s="240">
        <f t="shared" ref="H124:H125" si="64">$C$44/12</f>
        <v>1.575E-3</v>
      </c>
      <c r="I124" s="230">
        <f>(SUM('1.  LRAMVA Summary'!D$54:D$74)+SUM('1.  LRAMVA Summary'!D$75:D$76)*(MONTH($E124)-1)/12)*$H124</f>
        <v>29.955930112500003</v>
      </c>
      <c r="J124" s="230">
        <f>(SUM('1.  LRAMVA Summary'!E$54:E$74)+SUM('1.  LRAMVA Summary'!E$75:E$76)*(MONTH($E124)-1)/12)*$H124</f>
        <v>18.016171571999998</v>
      </c>
      <c r="K124" s="230">
        <f>(SUM('1.  LRAMVA Summary'!F$54:F$74)+SUM('1.  LRAMVA Summary'!F$75:F$76)*(MONTH($E124)-1)/12)*$H124</f>
        <v>-15.7210871832</v>
      </c>
      <c r="L124" s="230">
        <f>(SUM('1.  LRAMVA Summary'!G$54:G$74)+SUM('1.  LRAMVA Summary'!G$75:G$76)*(MONTH($E124)-1)/12)*$H124</f>
        <v>27.90474309630001</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60.155757597600015</v>
      </c>
    </row>
    <row r="125" spans="2:23" s="238" customFormat="1">
      <c r="B125" s="237"/>
      <c r="E125" s="214">
        <v>43252</v>
      </c>
      <c r="F125" s="214" t="s">
        <v>185</v>
      </c>
      <c r="G125" s="215" t="s">
        <v>66</v>
      </c>
      <c r="H125" s="240">
        <f t="shared" si="64"/>
        <v>1.575E-3</v>
      </c>
      <c r="I125" s="230">
        <f>(SUM('1.  LRAMVA Summary'!D$54:D$74)+SUM('1.  LRAMVA Summary'!D$75:D$76)*(MONTH($E125)-1)/12)*$H125</f>
        <v>30.722073375000001</v>
      </c>
      <c r="J125" s="230">
        <f>(SUM('1.  LRAMVA Summary'!E$54:E$74)+SUM('1.  LRAMVA Summary'!E$75:E$76)*(MONTH($E125)-1)/12)*$H125</f>
        <v>18.615029162099997</v>
      </c>
      <c r="K125" s="230">
        <f>(SUM('1.  LRAMVA Summary'!F$54:F$74)+SUM('1.  LRAMVA Summary'!F$75:F$76)*(MONTH($E125)-1)/12)*$H125</f>
        <v>-15.9752195253</v>
      </c>
      <c r="L125" s="230">
        <f>(SUM('1.  LRAMVA Summary'!G$54:G$74)+SUM('1.  LRAMVA Summary'!G$75:G$76)*(MONTH($E125)-1)/12)*$H125</f>
        <v>28.114520148225012</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61.476403160025008</v>
      </c>
    </row>
    <row r="126" spans="2:23" s="9" customFormat="1">
      <c r="B126" s="66"/>
      <c r="E126" s="214">
        <v>43282</v>
      </c>
      <c r="F126" s="214" t="s">
        <v>185</v>
      </c>
      <c r="G126" s="215" t="s">
        <v>68</v>
      </c>
      <c r="H126" s="240">
        <f>$C$45/12</f>
        <v>1.575E-3</v>
      </c>
      <c r="I126" s="230">
        <f>(SUM('1.  LRAMVA Summary'!D$54:D$74)+SUM('1.  LRAMVA Summary'!D$75:D$76)*(MONTH($E126)-1)/12)*$H126</f>
        <v>31.488216637500003</v>
      </c>
      <c r="J126" s="230">
        <f>(SUM('1.  LRAMVA Summary'!E$54:E$74)+SUM('1.  LRAMVA Summary'!E$75:E$76)*(MONTH($E126)-1)/12)*$H126</f>
        <v>19.213886752199997</v>
      </c>
      <c r="K126" s="230">
        <f>(SUM('1.  LRAMVA Summary'!F$54:F$74)+SUM('1.  LRAMVA Summary'!F$75:F$76)*(MONTH($E126)-1)/12)*$H126</f>
        <v>-16.229351867400002</v>
      </c>
      <c r="L126" s="230">
        <f>(SUM('1.  LRAMVA Summary'!G$54:G$74)+SUM('1.  LRAMVA Summary'!G$75:G$76)*(MONTH($E126)-1)/12)*$H126</f>
        <v>28.32429720015001</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62.797048722450015</v>
      </c>
    </row>
    <row r="127" spans="2:23" s="9" customFormat="1">
      <c r="B127" s="66"/>
      <c r="E127" s="214">
        <v>43313</v>
      </c>
      <c r="F127" s="214" t="s">
        <v>185</v>
      </c>
      <c r="G127" s="215" t="s">
        <v>68</v>
      </c>
      <c r="H127" s="240">
        <f t="shared" ref="H127:H128" si="65">$C$45/12</f>
        <v>1.575E-3</v>
      </c>
      <c r="I127" s="230">
        <f>(SUM('1.  LRAMVA Summary'!D$54:D$74)+SUM('1.  LRAMVA Summary'!D$75:D$76)*(MONTH($E127)-1)/12)*$H127</f>
        <v>32.254359900000004</v>
      </c>
      <c r="J127" s="230">
        <f>(SUM('1.  LRAMVA Summary'!E$54:E$74)+SUM('1.  LRAMVA Summary'!E$75:E$76)*(MONTH($E127)-1)/12)*$H127</f>
        <v>19.812744342299997</v>
      </c>
      <c r="K127" s="230">
        <f>(SUM('1.  LRAMVA Summary'!F$54:F$74)+SUM('1.  LRAMVA Summary'!F$75:F$76)*(MONTH($E127)-1)/12)*$H127</f>
        <v>-16.483484209499998</v>
      </c>
      <c r="L127" s="230">
        <f>(SUM('1.  LRAMVA Summary'!G$54:G$74)+SUM('1.  LRAMVA Summary'!G$75:G$76)*(MONTH($E127)-1)/12)*$H127</f>
        <v>28.534074252075012</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64.117694284875014</v>
      </c>
    </row>
    <row r="128" spans="2:23" s="9" customFormat="1">
      <c r="B128" s="66"/>
      <c r="E128" s="214">
        <v>43344</v>
      </c>
      <c r="F128" s="214" t="s">
        <v>185</v>
      </c>
      <c r="G128" s="215" t="s">
        <v>68</v>
      </c>
      <c r="H128" s="240">
        <f t="shared" si="65"/>
        <v>1.575E-3</v>
      </c>
      <c r="I128" s="230">
        <f>(SUM('1.  LRAMVA Summary'!D$54:D$74)+SUM('1.  LRAMVA Summary'!D$75:D$76)*(MONTH($E128)-1)/12)*$H128</f>
        <v>33.020503162500006</v>
      </c>
      <c r="J128" s="230">
        <f>(SUM('1.  LRAMVA Summary'!E$54:E$74)+SUM('1.  LRAMVA Summary'!E$75:E$76)*(MONTH($E128)-1)/12)*$H128</f>
        <v>20.411601932399996</v>
      </c>
      <c r="K128" s="230">
        <f>(SUM('1.  LRAMVA Summary'!F$54:F$74)+SUM('1.  LRAMVA Summary'!F$75:F$76)*(MONTH($E128)-1)/12)*$H128</f>
        <v>-16.737616551599999</v>
      </c>
      <c r="L128" s="230">
        <f>(SUM('1.  LRAMVA Summary'!G$54:G$74)+SUM('1.  LRAMVA Summary'!G$75:G$76)*(MONTH($E128)-1)/12)*$H128</f>
        <v>28.743851304000014</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65.438339847300014</v>
      </c>
    </row>
    <row r="129" spans="2:23" s="9" customFormat="1">
      <c r="B129" s="66"/>
      <c r="E129" s="214">
        <v>43374</v>
      </c>
      <c r="F129" s="214" t="s">
        <v>185</v>
      </c>
      <c r="G129" s="215" t="s">
        <v>69</v>
      </c>
      <c r="H129" s="240">
        <f>$C$46/12</f>
        <v>1.8083333333333335E-3</v>
      </c>
      <c r="I129" s="230">
        <f>(SUM('1.  LRAMVA Summary'!D$54:D$74)+SUM('1.  LRAMVA Summary'!D$75:D$76)*(MONTH($E129)-1)/12)*$H129</f>
        <v>38.792075525000001</v>
      </c>
      <c r="J129" s="230">
        <f>(SUM('1.  LRAMVA Summary'!E$54:E$74)+SUM('1.  LRAMVA Summary'!E$75:E$76)*(MONTH($E129)-1)/12)*$H129</f>
        <v>24.123120192499997</v>
      </c>
      <c r="K129" s="230">
        <f>(SUM('1.  LRAMVA Summary'!F$54:F$74)+SUM('1.  LRAMVA Summary'!F$75:F$76)*(MONTH($E129)-1)/12)*$H129</f>
        <v>-19.509045026100001</v>
      </c>
      <c r="L129" s="230">
        <f>(SUM('1.  LRAMVA Summary'!G$54:G$74)+SUM('1.  LRAMVA Summary'!G$75:G$76)*(MONTH($E129)-1)/12)*$H129</f>
        <v>33.243054779025009</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76.649205470425017</v>
      </c>
    </row>
    <row r="130" spans="2:23" s="9" customFormat="1">
      <c r="B130" s="66"/>
      <c r="E130" s="214">
        <v>43405</v>
      </c>
      <c r="F130" s="214" t="s">
        <v>185</v>
      </c>
      <c r="G130" s="215" t="s">
        <v>69</v>
      </c>
      <c r="H130" s="240">
        <f t="shared" ref="H130:H131" si="66">$C$46/12</f>
        <v>1.8083333333333335E-3</v>
      </c>
      <c r="I130" s="230">
        <f>(SUM('1.  LRAMVA Summary'!D$54:D$74)+SUM('1.  LRAMVA Summary'!D$75:D$76)*(MONTH($E130)-1)/12)*$H130</f>
        <v>39.671721493055557</v>
      </c>
      <c r="J130" s="230">
        <f>(SUM('1.  LRAMVA Summary'!E$54:E$74)+SUM('1.  LRAMVA Summary'!E$75:E$76)*(MONTH($E130)-1)/12)*$H130</f>
        <v>24.810697425577775</v>
      </c>
      <c r="K130" s="230">
        <f>(SUM('1.  LRAMVA Summary'!F$54:F$74)+SUM('1.  LRAMVA Summary'!F$75:F$76)*(MONTH($E130)-1)/12)*$H130</f>
        <v>-19.800826604066668</v>
      </c>
      <c r="L130" s="230">
        <f>(SUM('1.  LRAMVA Summary'!G$54:G$74)+SUM('1.  LRAMVA Summary'!G$75:G$76)*(MONTH($E130)-1)/12)*$H130</f>
        <v>33.483909912716683</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78.165502227283341</v>
      </c>
    </row>
    <row r="131" spans="2:23" s="9" customFormat="1">
      <c r="B131" s="66"/>
      <c r="E131" s="214">
        <v>43435</v>
      </c>
      <c r="F131" s="214" t="s">
        <v>185</v>
      </c>
      <c r="G131" s="215" t="s">
        <v>69</v>
      </c>
      <c r="H131" s="240">
        <f t="shared" si="66"/>
        <v>1.8083333333333335E-3</v>
      </c>
      <c r="I131" s="230">
        <f>(SUM('1.  LRAMVA Summary'!D$54:D$74)+SUM('1.  LRAMVA Summary'!D$75:D$76)*(MONTH($E131)-1)/12)*$H131</f>
        <v>40.551367461111113</v>
      </c>
      <c r="J131" s="230">
        <f>(SUM('1.  LRAMVA Summary'!E$54:E$74)+SUM('1.  LRAMVA Summary'!E$75:E$76)*(MONTH($E131)-1)/12)*$H131</f>
        <v>25.498274658655554</v>
      </c>
      <c r="K131" s="230">
        <f>(SUM('1.  LRAMVA Summary'!F$54:F$74)+SUM('1.  LRAMVA Summary'!F$75:F$76)*(MONTH($E131)-1)/12)*$H131</f>
        <v>-20.092608182033334</v>
      </c>
      <c r="L131" s="230">
        <f>(SUM('1.  LRAMVA Summary'!G$54:G$74)+SUM('1.  LRAMVA Summary'!G$75:G$76)*(MONTH($E131)-1)/12)*$H131</f>
        <v>33.724765046408351</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79.681798984141693</v>
      </c>
    </row>
    <row r="132" spans="2:23" s="9" customFormat="1" ht="15" thickBot="1">
      <c r="B132" s="66"/>
      <c r="E132" s="216" t="s">
        <v>468</v>
      </c>
      <c r="F132" s="216"/>
      <c r="G132" s="217"/>
      <c r="H132" s="218"/>
      <c r="I132" s="219">
        <f>SUM(I119:I131)</f>
        <v>521.40314105312507</v>
      </c>
      <c r="J132" s="219">
        <f>SUM(J119:J131)</f>
        <v>429.5374001479791</v>
      </c>
      <c r="K132" s="219">
        <f t="shared" ref="K132:O132" si="67">SUM(K119:K131)</f>
        <v>-420.8755601603001</v>
      </c>
      <c r="L132" s="219">
        <f t="shared" si="67"/>
        <v>1021.5120195719422</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1551.5770006127461</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521.40314105312507</v>
      </c>
      <c r="J134" s="228">
        <f t="shared" ref="J134" si="69">J132+J133</f>
        <v>429.5374001479791</v>
      </c>
      <c r="K134" s="228">
        <f t="shared" ref="K134" si="70">K132+K133</f>
        <v>-420.8755601603001</v>
      </c>
      <c r="L134" s="228">
        <f t="shared" ref="L134" si="71">L132+L133</f>
        <v>1021.5120195719422</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1551.5770006127461</v>
      </c>
    </row>
    <row r="135" spans="2:23" s="9" customFormat="1">
      <c r="B135" s="66"/>
      <c r="E135" s="214">
        <v>43466</v>
      </c>
      <c r="F135" s="214" t="s">
        <v>186</v>
      </c>
      <c r="G135" s="215" t="s">
        <v>65</v>
      </c>
      <c r="H135" s="240">
        <f>$C$47/12</f>
        <v>2.0416666666666669E-3</v>
      </c>
      <c r="I135" s="230">
        <f>(SUM('1.  LRAMVA Summary'!D$54:D$77)+SUM('1.  LRAMVA Summary'!D$78:D$79)*(MONTH($E135)-1)/12)*$H135</f>
        <v>46.776950645833338</v>
      </c>
      <c r="J135" s="230">
        <f>(SUM('1.  LRAMVA Summary'!E$54:E$77)+SUM('1.  LRAMVA Summary'!E$78:E$79)*(MONTH($E135)-1)/12)*$H135</f>
        <v>29.564671490666665</v>
      </c>
      <c r="K135" s="230">
        <f>(SUM('1.  LRAMVA Summary'!F$54:F$77)+SUM('1.  LRAMVA Summary'!F$78:F$79)*(MONTH($E135)-1)/12)*$H135</f>
        <v>-23.014633599999996</v>
      </c>
      <c r="L135" s="230">
        <f>(SUM('1.  LRAMVA Summary'!G$54:G$77)+SUM('1.  LRAMVA Summary'!G$78:G$79)*(MONTH($E135)-1)/12)*$H135</f>
        <v>38.348280848500018</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91.675269385000036</v>
      </c>
    </row>
    <row r="136" spans="2:23" s="9" customFormat="1">
      <c r="B136" s="66"/>
      <c r="E136" s="214">
        <v>43497</v>
      </c>
      <c r="F136" s="214" t="s">
        <v>186</v>
      </c>
      <c r="G136" s="215" t="s">
        <v>65</v>
      </c>
      <c r="H136" s="240">
        <f t="shared" ref="H136:H137" si="75">$C$47/12</f>
        <v>2.0416666666666669E-3</v>
      </c>
      <c r="I136" s="230">
        <f>(SUM('1.  LRAMVA Summary'!D$54:D$77)+SUM('1.  LRAMVA Summary'!D$78:D$79)*(MONTH($E136)-1)/12)*$H136</f>
        <v>46.776950645833338</v>
      </c>
      <c r="J136" s="230">
        <f>(SUM('1.  LRAMVA Summary'!E$54:E$77)+SUM('1.  LRAMVA Summary'!E$78:E$79)*(MONTH($E136)-1)/12)*$H136</f>
        <v>29.564671490666665</v>
      </c>
      <c r="K136" s="230">
        <f>(SUM('1.  LRAMVA Summary'!F$54:F$77)+SUM('1.  LRAMVA Summary'!F$78:F$79)*(MONTH($E136)-1)/12)*$H136</f>
        <v>-23.014633599999996</v>
      </c>
      <c r="L136" s="230">
        <f>(SUM('1.  LRAMVA Summary'!G$54:G$77)+SUM('1.  LRAMVA Summary'!G$78:G$79)*(MONTH($E136)-1)/12)*$H136</f>
        <v>38.348280848500018</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91.675269385000036</v>
      </c>
    </row>
    <row r="137" spans="2:23" s="9" customFormat="1">
      <c r="B137" s="66"/>
      <c r="E137" s="214">
        <v>43525</v>
      </c>
      <c r="F137" s="214" t="s">
        <v>186</v>
      </c>
      <c r="G137" s="215" t="s">
        <v>65</v>
      </c>
      <c r="H137" s="240">
        <f t="shared" si="75"/>
        <v>2.0416666666666669E-3</v>
      </c>
      <c r="I137" s="230">
        <f>(SUM('1.  LRAMVA Summary'!D$54:D$77)+SUM('1.  LRAMVA Summary'!D$78:D$79)*(MONTH($E137)-1)/12)*$H137</f>
        <v>46.776950645833338</v>
      </c>
      <c r="J137" s="230">
        <f>(SUM('1.  LRAMVA Summary'!E$54:E$77)+SUM('1.  LRAMVA Summary'!E$78:E$79)*(MONTH($E137)-1)/12)*$H137</f>
        <v>29.564671490666665</v>
      </c>
      <c r="K137" s="230">
        <f>(SUM('1.  LRAMVA Summary'!F$54:F$77)+SUM('1.  LRAMVA Summary'!F$78:F$79)*(MONTH($E137)-1)/12)*$H137</f>
        <v>-23.014633599999996</v>
      </c>
      <c r="L137" s="230">
        <f>(SUM('1.  LRAMVA Summary'!G$54:G$77)+SUM('1.  LRAMVA Summary'!G$78:G$79)*(MONTH($E137)-1)/12)*$H137</f>
        <v>38.348280848500018</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91.675269385000036</v>
      </c>
    </row>
    <row r="138" spans="2:23" s="8" customFormat="1">
      <c r="B138" s="239"/>
      <c r="E138" s="214">
        <v>43556</v>
      </c>
      <c r="F138" s="214" t="s">
        <v>186</v>
      </c>
      <c r="G138" s="215" t="s">
        <v>66</v>
      </c>
      <c r="H138" s="240">
        <f>$C$48/12</f>
        <v>1.8166666666666667E-3</v>
      </c>
      <c r="I138" s="230">
        <f>(SUM('1.  LRAMVA Summary'!D$54:D$77)+SUM('1.  LRAMVA Summary'!D$78:D$79)*(MONTH($E138)-1)/12)*$H138</f>
        <v>41.62193975833334</v>
      </c>
      <c r="J138" s="230">
        <f>(SUM('1.  LRAMVA Summary'!E$54:E$77)+SUM('1.  LRAMVA Summary'!E$78:E$79)*(MONTH($E138)-1)/12)*$H138</f>
        <v>26.306524020266661</v>
      </c>
      <c r="K138" s="230">
        <f>(SUM('1.  LRAMVA Summary'!F$54:F$77)+SUM('1.  LRAMVA Summary'!F$78:F$79)*(MONTH($E138)-1)/12)*$H138</f>
        <v>-20.478327039999996</v>
      </c>
      <c r="L138" s="230">
        <f>(SUM('1.  LRAMVA Summary'!G$54:G$77)+SUM('1.  LRAMVA Summary'!G$78:G$79)*(MONTH($E138)-1)/12)*$H138</f>
        <v>34.122143775400012</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81.572280514000028</v>
      </c>
    </row>
    <row r="139" spans="2:23" s="9" customFormat="1">
      <c r="B139" s="66"/>
      <c r="E139" s="214">
        <v>43586</v>
      </c>
      <c r="F139" s="214" t="s">
        <v>186</v>
      </c>
      <c r="G139" s="215" t="s">
        <v>66</v>
      </c>
      <c r="H139" s="240">
        <f>$C$48/12</f>
        <v>1.8166666666666667E-3</v>
      </c>
      <c r="I139" s="230">
        <f>(SUM('1.  LRAMVA Summary'!D$54:D$77)+SUM('1.  LRAMVA Summary'!D$78:D$79)*(MONTH($E139)-1)/12)*$H139</f>
        <v>41.62193975833334</v>
      </c>
      <c r="J139" s="230">
        <f>(SUM('1.  LRAMVA Summary'!E$54:E$77)+SUM('1.  LRAMVA Summary'!E$78:E$79)*(MONTH($E139)-1)/12)*$H139</f>
        <v>26.306524020266661</v>
      </c>
      <c r="K139" s="230">
        <f>(SUM('1.  LRAMVA Summary'!F$54:F$77)+SUM('1.  LRAMVA Summary'!F$78:F$79)*(MONTH($E139)-1)/12)*$H139</f>
        <v>-20.478327039999996</v>
      </c>
      <c r="L139" s="230">
        <f>(SUM('1.  LRAMVA Summary'!G$54:G$77)+SUM('1.  LRAMVA Summary'!G$78:G$79)*(MONTH($E139)-1)/12)*$H139</f>
        <v>34.122143775400012</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81.572280514000028</v>
      </c>
    </row>
    <row r="140" spans="2:23" s="9" customFormat="1">
      <c r="B140" s="66"/>
      <c r="E140" s="214">
        <v>43617</v>
      </c>
      <c r="F140" s="214" t="s">
        <v>186</v>
      </c>
      <c r="G140" s="215" t="s">
        <v>66</v>
      </c>
      <c r="H140" s="240">
        <f t="shared" ref="H140" si="77">$C$48/12</f>
        <v>1.8166666666666667E-3</v>
      </c>
      <c r="I140" s="230">
        <f>(SUM('1.  LRAMVA Summary'!D$54:D$77)+SUM('1.  LRAMVA Summary'!D$78:D$79)*(MONTH($E140)-1)/12)*$H140</f>
        <v>41.62193975833334</v>
      </c>
      <c r="J140" s="230">
        <f>(SUM('1.  LRAMVA Summary'!E$54:E$77)+SUM('1.  LRAMVA Summary'!E$78:E$79)*(MONTH($E140)-1)/12)*$H140</f>
        <v>26.306524020266661</v>
      </c>
      <c r="K140" s="230">
        <f>(SUM('1.  LRAMVA Summary'!F$54:F$77)+SUM('1.  LRAMVA Summary'!F$78:F$79)*(MONTH($E140)-1)/12)*$H140</f>
        <v>-20.478327039999996</v>
      </c>
      <c r="L140" s="230">
        <f>(SUM('1.  LRAMVA Summary'!G$54:G$77)+SUM('1.  LRAMVA Summary'!G$78:G$79)*(MONTH($E140)-1)/12)*$H140</f>
        <v>34.122143775400012</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81.572280514000028</v>
      </c>
    </row>
    <row r="141" spans="2:23" s="9" customFormat="1">
      <c r="B141" s="66"/>
      <c r="E141" s="214">
        <v>43647</v>
      </c>
      <c r="F141" s="214" t="s">
        <v>186</v>
      </c>
      <c r="G141" s="215" t="s">
        <v>68</v>
      </c>
      <c r="H141" s="240">
        <f>$C$49/12</f>
        <v>1.8166666666666667E-3</v>
      </c>
      <c r="I141" s="230">
        <f>(SUM('1.  LRAMVA Summary'!D$54:D$77)+SUM('1.  LRAMVA Summary'!D$78:D$79)*(MONTH($E141)-1)/12)*$H141</f>
        <v>41.62193975833334</v>
      </c>
      <c r="J141" s="230">
        <f>(SUM('1.  LRAMVA Summary'!E$54:E$77)+SUM('1.  LRAMVA Summary'!E$78:E$79)*(MONTH($E141)-1)/12)*$H141</f>
        <v>26.306524020266661</v>
      </c>
      <c r="K141" s="230">
        <f>(SUM('1.  LRAMVA Summary'!F$54:F$77)+SUM('1.  LRAMVA Summary'!F$78:F$79)*(MONTH($E141)-1)/12)*$H141</f>
        <v>-20.478327039999996</v>
      </c>
      <c r="L141" s="230">
        <f>(SUM('1.  LRAMVA Summary'!G$54:G$77)+SUM('1.  LRAMVA Summary'!G$78:G$79)*(MONTH($E141)-1)/12)*$H141</f>
        <v>34.122143775400012</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81.572280514000028</v>
      </c>
    </row>
    <row r="142" spans="2:23" s="9" customFormat="1">
      <c r="B142" s="66"/>
      <c r="E142" s="214">
        <v>43678</v>
      </c>
      <c r="F142" s="214" t="s">
        <v>186</v>
      </c>
      <c r="G142" s="215" t="s">
        <v>68</v>
      </c>
      <c r="H142" s="240">
        <f t="shared" ref="H142" si="78">$C$49/12</f>
        <v>1.8166666666666667E-3</v>
      </c>
      <c r="I142" s="230">
        <f>(SUM('1.  LRAMVA Summary'!D$54:D$77)+SUM('1.  LRAMVA Summary'!D$78:D$79)*(MONTH($E142)-1)/12)*$H142</f>
        <v>41.62193975833334</v>
      </c>
      <c r="J142" s="230">
        <f>(SUM('1.  LRAMVA Summary'!E$54:E$77)+SUM('1.  LRAMVA Summary'!E$78:E$79)*(MONTH($E142)-1)/12)*$H142</f>
        <v>26.306524020266661</v>
      </c>
      <c r="K142" s="230">
        <f>(SUM('1.  LRAMVA Summary'!F$54:F$77)+SUM('1.  LRAMVA Summary'!F$78:F$79)*(MONTH($E142)-1)/12)*$H142</f>
        <v>-20.478327039999996</v>
      </c>
      <c r="L142" s="230">
        <f>(SUM('1.  LRAMVA Summary'!G$54:G$77)+SUM('1.  LRAMVA Summary'!G$78:G$79)*(MONTH($E142)-1)/12)*$H142</f>
        <v>34.122143775400012</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81.572280514000028</v>
      </c>
    </row>
    <row r="143" spans="2:23" s="9" customFormat="1">
      <c r="B143" s="66"/>
      <c r="E143" s="214">
        <v>43709</v>
      </c>
      <c r="F143" s="214" t="s">
        <v>186</v>
      </c>
      <c r="G143" s="215" t="s">
        <v>68</v>
      </c>
      <c r="H143" s="240">
        <f>$C$49/12</f>
        <v>1.8166666666666667E-3</v>
      </c>
      <c r="I143" s="230">
        <f>(SUM('1.  LRAMVA Summary'!D$54:D$77)+SUM('1.  LRAMVA Summary'!D$78:D$79)*(MONTH($E143)-1)/12)*$H143</f>
        <v>41.62193975833334</v>
      </c>
      <c r="J143" s="230">
        <f>(SUM('1.  LRAMVA Summary'!E$54:E$77)+SUM('1.  LRAMVA Summary'!E$78:E$79)*(MONTH($E143)-1)/12)*$H143</f>
        <v>26.306524020266661</v>
      </c>
      <c r="K143" s="230">
        <f>(SUM('1.  LRAMVA Summary'!F$54:F$77)+SUM('1.  LRAMVA Summary'!F$78:F$79)*(MONTH($E143)-1)/12)*$H143</f>
        <v>-20.478327039999996</v>
      </c>
      <c r="L143" s="230">
        <f>(SUM('1.  LRAMVA Summary'!G$54:G$77)+SUM('1.  LRAMVA Summary'!G$78:G$79)*(MONTH($E143)-1)/12)*$H143</f>
        <v>34.122143775400012</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81.572280514000028</v>
      </c>
    </row>
    <row r="144" spans="2:23" s="9" customFormat="1">
      <c r="B144" s="66"/>
      <c r="E144" s="214">
        <v>43739</v>
      </c>
      <c r="F144" s="214" t="s">
        <v>186</v>
      </c>
      <c r="G144" s="215" t="s">
        <v>69</v>
      </c>
      <c r="H144" s="240">
        <f>$C$50/12</f>
        <v>1.8166666666666667E-3</v>
      </c>
      <c r="I144" s="230">
        <f>(SUM('1.  LRAMVA Summary'!D$54:D$77)+SUM('1.  LRAMVA Summary'!D$78:D$79)*(MONTH($E144)-1)/12)*$H144</f>
        <v>41.62193975833334</v>
      </c>
      <c r="J144" s="230">
        <f>(SUM('1.  LRAMVA Summary'!E$54:E$77)+SUM('1.  LRAMVA Summary'!E$78:E$79)*(MONTH($E144)-1)/12)*$H144</f>
        <v>26.306524020266661</v>
      </c>
      <c r="K144" s="230">
        <f>(SUM('1.  LRAMVA Summary'!F$54:F$77)+SUM('1.  LRAMVA Summary'!F$78:F$79)*(MONTH($E144)-1)/12)*$H144</f>
        <v>-20.478327039999996</v>
      </c>
      <c r="L144" s="230">
        <f>(SUM('1.  LRAMVA Summary'!G$54:G$77)+SUM('1.  LRAMVA Summary'!G$78:G$79)*(MONTH($E144)-1)/12)*$H144</f>
        <v>34.122143775400012</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81.572280514000028</v>
      </c>
    </row>
    <row r="145" spans="2:23" s="9" customFormat="1">
      <c r="B145" s="66"/>
      <c r="E145" s="214">
        <v>43770</v>
      </c>
      <c r="F145" s="214" t="s">
        <v>186</v>
      </c>
      <c r="G145" s="215" t="s">
        <v>69</v>
      </c>
      <c r="H145" s="240">
        <f t="shared" ref="H145:H146" si="79">$C$50/12</f>
        <v>1.8166666666666667E-3</v>
      </c>
      <c r="I145" s="230">
        <f>(SUM('1.  LRAMVA Summary'!D$54:D$77)+SUM('1.  LRAMVA Summary'!D$78:D$79)*(MONTH($E145)-1)/12)*$H145</f>
        <v>41.62193975833334</v>
      </c>
      <c r="J145" s="230">
        <f>(SUM('1.  LRAMVA Summary'!E$54:E$77)+SUM('1.  LRAMVA Summary'!E$78:E$79)*(MONTH($E145)-1)/12)*$H145</f>
        <v>26.306524020266661</v>
      </c>
      <c r="K145" s="230">
        <f>(SUM('1.  LRAMVA Summary'!F$54:F$77)+SUM('1.  LRAMVA Summary'!F$78:F$79)*(MONTH($E145)-1)/12)*$H145</f>
        <v>-20.478327039999996</v>
      </c>
      <c r="L145" s="230">
        <f>(SUM('1.  LRAMVA Summary'!G$54:G$77)+SUM('1.  LRAMVA Summary'!G$78:G$79)*(MONTH($E145)-1)/12)*$H145</f>
        <v>34.122143775400012</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81.572280514000028</v>
      </c>
    </row>
    <row r="146" spans="2:23" s="9" customFormat="1">
      <c r="B146" s="66"/>
      <c r="E146" s="214">
        <v>43800</v>
      </c>
      <c r="F146" s="214" t="s">
        <v>186</v>
      </c>
      <c r="G146" s="215" t="s">
        <v>69</v>
      </c>
      <c r="H146" s="240">
        <f t="shared" si="79"/>
        <v>1.8166666666666667E-3</v>
      </c>
      <c r="I146" s="230">
        <f>(SUM('1.  LRAMVA Summary'!D$54:D$77)+SUM('1.  LRAMVA Summary'!D$78:D$79)*(MONTH($E146)-1)/12)*$H146</f>
        <v>41.62193975833334</v>
      </c>
      <c r="J146" s="230">
        <f>(SUM('1.  LRAMVA Summary'!E$54:E$77)+SUM('1.  LRAMVA Summary'!E$78:E$79)*(MONTH($E146)-1)/12)*$H146</f>
        <v>26.306524020266661</v>
      </c>
      <c r="K146" s="230">
        <f>(SUM('1.  LRAMVA Summary'!F$54:F$77)+SUM('1.  LRAMVA Summary'!F$78:F$79)*(MONTH($E146)-1)/12)*$H146</f>
        <v>-20.478327039999996</v>
      </c>
      <c r="L146" s="230">
        <f>(SUM('1.  LRAMVA Summary'!G$54:G$77)+SUM('1.  LRAMVA Summary'!G$78:G$79)*(MONTH($E146)-1)/12)*$H146</f>
        <v>34.122143775400012</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81.572280514000028</v>
      </c>
    </row>
    <row r="147" spans="2:23" s="9" customFormat="1" ht="15" thickBot="1">
      <c r="B147" s="66"/>
      <c r="E147" s="216" t="s">
        <v>469</v>
      </c>
      <c r="F147" s="216"/>
      <c r="G147" s="217"/>
      <c r="H147" s="218"/>
      <c r="I147" s="219">
        <f>SUM(I134:I146)</f>
        <v>1036.3314508156257</v>
      </c>
      <c r="J147" s="219">
        <f>SUM(J134:J146)</f>
        <v>754.99013080237933</v>
      </c>
      <c r="K147" s="219">
        <f t="shared" ref="K147:O147" si="80">SUM(K134:K146)</f>
        <v>-674.22440432029987</v>
      </c>
      <c r="L147" s="219">
        <f t="shared" si="80"/>
        <v>1443.6561560960422</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2560.7533333937458</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1036.3314508156257</v>
      </c>
      <c r="J149" s="228">
        <f t="shared" ref="J149" si="82">J147+J148</f>
        <v>754.99013080237933</v>
      </c>
      <c r="K149" s="228">
        <f t="shared" ref="K149" si="83">K147+K148</f>
        <v>-674.22440432029987</v>
      </c>
      <c r="L149" s="228">
        <f t="shared" ref="L149" si="84">L147+L148</f>
        <v>1443.6561560960422</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2560.7533333937458</v>
      </c>
    </row>
    <row r="150" spans="2:23" s="9" customFormat="1">
      <c r="B150" s="66"/>
      <c r="E150" s="214">
        <v>43831</v>
      </c>
      <c r="F150" s="214" t="s">
        <v>187</v>
      </c>
      <c r="G150" s="215" t="s">
        <v>65</v>
      </c>
      <c r="H150" s="240">
        <f>$C$51/12</f>
        <v>1.8166666666666667E-3</v>
      </c>
      <c r="I150" s="230">
        <f>(SUM('1.  LRAMVA Summary'!D$54:D$80)+SUM('1.  LRAMVA Summary'!D$81:D$82)*(MONTH($E150)-1)/12)*$H150</f>
        <v>41.62193975833334</v>
      </c>
      <c r="J150" s="230">
        <f>(SUM('1.  LRAMVA Summary'!E$54:E$80)+SUM('1.  LRAMVA Summary'!E$81:E$82)*(MONTH($E150)-1)/12)*$H150</f>
        <v>26.306524020266661</v>
      </c>
      <c r="K150" s="230">
        <f>(SUM('1.  LRAMVA Summary'!F$54:F$80)+SUM('1.  LRAMVA Summary'!F$81:F$82)*(MONTH($E150)-1)/12)*$H150</f>
        <v>-20.478327039999996</v>
      </c>
      <c r="L150" s="230">
        <f>(SUM('1.  LRAMVA Summary'!G$54:G$80)+SUM('1.  LRAMVA Summary'!G$81:G$82)*(MONTH($E150)-1)/12)*$H150</f>
        <v>34.122143775400012</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81.572280514000028</v>
      </c>
    </row>
    <row r="151" spans="2:23" s="9" customFormat="1">
      <c r="B151" s="66"/>
      <c r="E151" s="214">
        <v>43862</v>
      </c>
      <c r="F151" s="214" t="s">
        <v>187</v>
      </c>
      <c r="G151" s="215" t="s">
        <v>65</v>
      </c>
      <c r="H151" s="240">
        <f t="shared" ref="H151:H152" si="88">$C$51/12</f>
        <v>1.8166666666666667E-3</v>
      </c>
      <c r="I151" s="230">
        <f>(SUM('1.  LRAMVA Summary'!D$54:D$80)+SUM('1.  LRAMVA Summary'!D$81:D$82)*(MONTH($E151)-1)/12)*$H151</f>
        <v>41.62193975833334</v>
      </c>
      <c r="J151" s="230">
        <f>(SUM('1.  LRAMVA Summary'!E$54:E$80)+SUM('1.  LRAMVA Summary'!E$81:E$82)*(MONTH($E151)-1)/12)*$H151</f>
        <v>26.306524020266661</v>
      </c>
      <c r="K151" s="230">
        <f>(SUM('1.  LRAMVA Summary'!F$54:F$80)+SUM('1.  LRAMVA Summary'!F$81:F$82)*(MONTH($E151)-1)/12)*$H151</f>
        <v>-20.478327039999996</v>
      </c>
      <c r="L151" s="230">
        <f>(SUM('1.  LRAMVA Summary'!G$54:G$80)+SUM('1.  LRAMVA Summary'!G$81:G$82)*(MONTH($E151)-1)/12)*$H151</f>
        <v>34.122143775400012</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81.572280514000028</v>
      </c>
    </row>
    <row r="152" spans="2:23" s="9" customFormat="1">
      <c r="B152" s="66"/>
      <c r="E152" s="214">
        <v>43891</v>
      </c>
      <c r="F152" s="214" t="s">
        <v>187</v>
      </c>
      <c r="G152" s="215" t="s">
        <v>65</v>
      </c>
      <c r="H152" s="240">
        <f t="shared" si="88"/>
        <v>1.8166666666666667E-3</v>
      </c>
      <c r="I152" s="230">
        <f>(SUM('1.  LRAMVA Summary'!D$54:D$80)+SUM('1.  LRAMVA Summary'!D$81:D$82)*(MONTH($E152)-1)/12)*$H152</f>
        <v>41.62193975833334</v>
      </c>
      <c r="J152" s="230">
        <f>(SUM('1.  LRAMVA Summary'!E$54:E$80)+SUM('1.  LRAMVA Summary'!E$81:E$82)*(MONTH($E152)-1)/12)*$H152</f>
        <v>26.306524020266661</v>
      </c>
      <c r="K152" s="230">
        <f>(SUM('1.  LRAMVA Summary'!F$54:F$80)+SUM('1.  LRAMVA Summary'!F$81:F$82)*(MONTH($E152)-1)/12)*$H152</f>
        <v>-20.478327039999996</v>
      </c>
      <c r="L152" s="230">
        <f>(SUM('1.  LRAMVA Summary'!G$54:G$80)+SUM('1.  LRAMVA Summary'!G$81:G$82)*(MONTH($E152)-1)/12)*$H152</f>
        <v>34.122143775400012</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81.572280514000028</v>
      </c>
    </row>
    <row r="153" spans="2:23" s="9" customFormat="1">
      <c r="B153" s="66"/>
      <c r="E153" s="214">
        <v>43922</v>
      </c>
      <c r="F153" s="214" t="s">
        <v>187</v>
      </c>
      <c r="G153" s="215" t="s">
        <v>66</v>
      </c>
      <c r="H153" s="240">
        <f>$C$52/12</f>
        <v>1.8166666666666667E-3</v>
      </c>
      <c r="I153" s="230">
        <f>(SUM('1.  LRAMVA Summary'!D$54:D$80)+SUM('1.  LRAMVA Summary'!D$81:D$82)*(MONTH($E153)-1)/12)*$H153</f>
        <v>41.62193975833334</v>
      </c>
      <c r="J153" s="230">
        <f>(SUM('1.  LRAMVA Summary'!E$54:E$80)+SUM('1.  LRAMVA Summary'!E$81:E$82)*(MONTH($E153)-1)/12)*$H153</f>
        <v>26.306524020266661</v>
      </c>
      <c r="K153" s="230">
        <f>(SUM('1.  LRAMVA Summary'!F$54:F$80)+SUM('1.  LRAMVA Summary'!F$81:F$82)*(MONTH($E153)-1)/12)*$H153</f>
        <v>-20.478327039999996</v>
      </c>
      <c r="L153" s="230">
        <f>(SUM('1.  LRAMVA Summary'!G$54:G$80)+SUM('1.  LRAMVA Summary'!G$81:G$82)*(MONTH($E153)-1)/12)*$H153</f>
        <v>34.122143775400012</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81.572280514000028</v>
      </c>
    </row>
    <row r="154" spans="2:23" s="9" customFormat="1">
      <c r="B154" s="66"/>
      <c r="E154" s="214">
        <v>43952</v>
      </c>
      <c r="F154" s="214" t="s">
        <v>187</v>
      </c>
      <c r="G154" s="215" t="s">
        <v>66</v>
      </c>
      <c r="H154" s="240">
        <f t="shared" ref="H154:H155" si="90">$C$52/12</f>
        <v>1.8166666666666667E-3</v>
      </c>
      <c r="I154" s="230">
        <f>(SUM('1.  LRAMVA Summary'!D$54:D$80)+SUM('1.  LRAMVA Summary'!D$81:D$82)*(MONTH($E154)-1)/12)*$H154</f>
        <v>41.62193975833334</v>
      </c>
      <c r="J154" s="230">
        <f>(SUM('1.  LRAMVA Summary'!E$54:E$80)+SUM('1.  LRAMVA Summary'!E$81:E$82)*(MONTH($E154)-1)/12)*$H154</f>
        <v>26.306524020266661</v>
      </c>
      <c r="K154" s="230">
        <f>(SUM('1.  LRAMVA Summary'!F$54:F$80)+SUM('1.  LRAMVA Summary'!F$81:F$82)*(MONTH($E154)-1)/12)*$H154</f>
        <v>-20.478327039999996</v>
      </c>
      <c r="L154" s="230">
        <f>(SUM('1.  LRAMVA Summary'!G$54:G$80)+SUM('1.  LRAMVA Summary'!G$81:G$82)*(MONTH($E154)-1)/12)*$H154</f>
        <v>34.122143775400012</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81.572280514000028</v>
      </c>
    </row>
    <row r="155" spans="2:23" s="9" customFormat="1">
      <c r="B155" s="66"/>
      <c r="E155" s="214">
        <v>43983</v>
      </c>
      <c r="F155" s="214" t="s">
        <v>187</v>
      </c>
      <c r="G155" s="215" t="s">
        <v>66</v>
      </c>
      <c r="H155" s="240">
        <f t="shared" si="90"/>
        <v>1.8166666666666667E-3</v>
      </c>
      <c r="I155" s="230">
        <f>(SUM('1.  LRAMVA Summary'!D$54:D$80)+SUM('1.  LRAMVA Summary'!D$81:D$82)*(MONTH($E155)-1)/12)*$H155</f>
        <v>41.62193975833334</v>
      </c>
      <c r="J155" s="230">
        <f>(SUM('1.  LRAMVA Summary'!E$54:E$80)+SUM('1.  LRAMVA Summary'!E$81:E$82)*(MONTH($E155)-1)/12)*$H155</f>
        <v>26.306524020266661</v>
      </c>
      <c r="K155" s="230">
        <f>(SUM('1.  LRAMVA Summary'!F$54:F$80)+SUM('1.  LRAMVA Summary'!F$81:F$82)*(MONTH($E155)-1)/12)*$H155</f>
        <v>-20.478327039999996</v>
      </c>
      <c r="L155" s="230">
        <f>(SUM('1.  LRAMVA Summary'!G$54:G$80)+SUM('1.  LRAMVA Summary'!G$81:G$82)*(MONTH($E155)-1)/12)*$H155</f>
        <v>34.122143775400012</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81.572280514000028</v>
      </c>
    </row>
    <row r="156" spans="2:23" s="9" customFormat="1">
      <c r="B156" s="66"/>
      <c r="E156" s="214">
        <v>44013</v>
      </c>
      <c r="F156" s="214" t="s">
        <v>187</v>
      </c>
      <c r="G156" s="215" t="s">
        <v>68</v>
      </c>
      <c r="H156" s="240">
        <f>$C$53/12</f>
        <v>4.75E-4</v>
      </c>
      <c r="I156" s="230">
        <f>(SUM('1.  LRAMVA Summary'!D$54:D$80)+SUM('1.  LRAMVA Summary'!D$81:D$82)*(MONTH($E156)-1)/12)*$H156</f>
        <v>10.882800762500001</v>
      </c>
      <c r="J156" s="230">
        <f>(SUM('1.  LRAMVA Summary'!E$54:E$80)+SUM('1.  LRAMVA Summary'!E$81:E$82)*(MONTH($E156)-1)/12)*$H156</f>
        <v>6.8783113263999986</v>
      </c>
      <c r="K156" s="230">
        <f>(SUM('1.  LRAMVA Summary'!F$54:F$80)+SUM('1.  LRAMVA Summary'!F$81:F$82)*(MONTH($E156)-1)/12)*$H156</f>
        <v>-5.3544249599999985</v>
      </c>
      <c r="L156" s="230">
        <f>(SUM('1.  LRAMVA Summary'!G$54:G$80)+SUM('1.  LRAMVA Summary'!G$81:G$82)*(MONTH($E156)-1)/12)*$H156</f>
        <v>8.9218449321000044</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21.328532061000004</v>
      </c>
    </row>
    <row r="157" spans="2:23" s="9" customFormat="1">
      <c r="B157" s="66"/>
      <c r="E157" s="214">
        <v>44044</v>
      </c>
      <c r="F157" s="214" t="s">
        <v>187</v>
      </c>
      <c r="G157" s="215" t="s">
        <v>68</v>
      </c>
      <c r="H157" s="240">
        <f t="shared" ref="H157:H158" si="91">$C$53/12</f>
        <v>4.75E-4</v>
      </c>
      <c r="I157" s="230">
        <f>(SUM('1.  LRAMVA Summary'!D$54:D$80)+SUM('1.  LRAMVA Summary'!D$81:D$82)*(MONTH($E157)-1)/12)*$H157</f>
        <v>10.882800762500001</v>
      </c>
      <c r="J157" s="230">
        <f>(SUM('1.  LRAMVA Summary'!E$54:E$80)+SUM('1.  LRAMVA Summary'!E$81:E$82)*(MONTH($E157)-1)/12)*$H157</f>
        <v>6.8783113263999986</v>
      </c>
      <c r="K157" s="230">
        <f>(SUM('1.  LRAMVA Summary'!F$54:F$80)+SUM('1.  LRAMVA Summary'!F$81:F$82)*(MONTH($E157)-1)/12)*$H157</f>
        <v>-5.3544249599999985</v>
      </c>
      <c r="L157" s="230">
        <f>(SUM('1.  LRAMVA Summary'!G$54:G$80)+SUM('1.  LRAMVA Summary'!G$81:G$82)*(MONTH($E157)-1)/12)*$H157</f>
        <v>8.9218449321000044</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21.328532061000004</v>
      </c>
    </row>
    <row r="158" spans="2:23" s="9" customFormat="1">
      <c r="B158" s="66"/>
      <c r="E158" s="214">
        <v>44075</v>
      </c>
      <c r="F158" s="214" t="s">
        <v>187</v>
      </c>
      <c r="G158" s="215" t="s">
        <v>68</v>
      </c>
      <c r="H158" s="240">
        <f t="shared" si="91"/>
        <v>4.75E-4</v>
      </c>
      <c r="I158" s="230">
        <f>(SUM('1.  LRAMVA Summary'!D$54:D$80)+SUM('1.  LRAMVA Summary'!D$81:D$82)*(MONTH($E158)-1)/12)*$H158</f>
        <v>10.882800762500001</v>
      </c>
      <c r="J158" s="230">
        <f>(SUM('1.  LRAMVA Summary'!E$54:E$80)+SUM('1.  LRAMVA Summary'!E$81:E$82)*(MONTH($E158)-1)/12)*$H158</f>
        <v>6.8783113263999986</v>
      </c>
      <c r="K158" s="230">
        <f>(SUM('1.  LRAMVA Summary'!F$54:F$80)+SUM('1.  LRAMVA Summary'!F$81:F$82)*(MONTH($E158)-1)/12)*$H158</f>
        <v>-5.3544249599999985</v>
      </c>
      <c r="L158" s="230">
        <f>(SUM('1.  LRAMVA Summary'!G$54:G$80)+SUM('1.  LRAMVA Summary'!G$81:G$82)*(MONTH($E158)-1)/12)*$H158</f>
        <v>8.9218449321000044</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21.328532061000004</v>
      </c>
    </row>
    <row r="159" spans="2:23" s="9" customFormat="1">
      <c r="B159" s="66"/>
      <c r="E159" s="214">
        <v>44105</v>
      </c>
      <c r="F159" s="214" t="s">
        <v>187</v>
      </c>
      <c r="G159" s="215" t="s">
        <v>69</v>
      </c>
      <c r="H159" s="240">
        <f>$C$54/12</f>
        <v>4.75E-4</v>
      </c>
      <c r="I159" s="230">
        <f>(SUM('1.  LRAMVA Summary'!D$54:D$80)+SUM('1.  LRAMVA Summary'!D$81:D$82)*(MONTH($E159)-1)/12)*$H159</f>
        <v>10.882800762500001</v>
      </c>
      <c r="J159" s="230">
        <f>(SUM('1.  LRAMVA Summary'!E$54:E$80)+SUM('1.  LRAMVA Summary'!E$81:E$82)*(MONTH($E159)-1)/12)*$H159</f>
        <v>6.8783113263999986</v>
      </c>
      <c r="K159" s="230">
        <f>(SUM('1.  LRAMVA Summary'!F$54:F$80)+SUM('1.  LRAMVA Summary'!F$81:F$82)*(MONTH($E159)-1)/12)*$H159</f>
        <v>-5.3544249599999985</v>
      </c>
      <c r="L159" s="230">
        <f>(SUM('1.  LRAMVA Summary'!G$54:G$80)+SUM('1.  LRAMVA Summary'!G$81:G$82)*(MONTH($E159)-1)/12)*$H159</f>
        <v>8.9218449321000044</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21.328532061000004</v>
      </c>
    </row>
    <row r="160" spans="2:23" s="9" customFormat="1">
      <c r="B160" s="66"/>
      <c r="E160" s="214">
        <v>44136</v>
      </c>
      <c r="F160" s="214" t="s">
        <v>187</v>
      </c>
      <c r="G160" s="215" t="s">
        <v>69</v>
      </c>
      <c r="H160" s="240">
        <f t="shared" ref="H160:H161" si="92">$C$54/12</f>
        <v>4.75E-4</v>
      </c>
      <c r="I160" s="230">
        <f>(SUM('1.  LRAMVA Summary'!D$54:D$80)+SUM('1.  LRAMVA Summary'!D$81:D$82)*(MONTH($E160)-1)/12)*$H160</f>
        <v>10.882800762500001</v>
      </c>
      <c r="J160" s="230">
        <f>(SUM('1.  LRAMVA Summary'!E$54:E$80)+SUM('1.  LRAMVA Summary'!E$81:E$82)*(MONTH($E160)-1)/12)*$H160</f>
        <v>6.8783113263999986</v>
      </c>
      <c r="K160" s="230">
        <f>(SUM('1.  LRAMVA Summary'!F$54:F$80)+SUM('1.  LRAMVA Summary'!F$81:F$82)*(MONTH($E160)-1)/12)*$H160</f>
        <v>-5.3544249599999985</v>
      </c>
      <c r="L160" s="230">
        <f>(SUM('1.  LRAMVA Summary'!G$54:G$80)+SUM('1.  LRAMVA Summary'!G$81:G$82)*(MONTH($E160)-1)/12)*$H160</f>
        <v>8.9218449321000044</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21.328532061000004</v>
      </c>
    </row>
    <row r="161" spans="2:23" s="9" customFormat="1">
      <c r="B161" s="66"/>
      <c r="E161" s="214">
        <v>44166</v>
      </c>
      <c r="F161" s="214" t="s">
        <v>187</v>
      </c>
      <c r="G161" s="215" t="s">
        <v>69</v>
      </c>
      <c r="H161" s="240">
        <f t="shared" si="92"/>
        <v>4.75E-4</v>
      </c>
      <c r="I161" s="230">
        <f>(SUM('1.  LRAMVA Summary'!D$54:D$80)+SUM('1.  LRAMVA Summary'!D$81:D$82)*(MONTH($E161)-1)/12)*$H161</f>
        <v>10.882800762500001</v>
      </c>
      <c r="J161" s="230">
        <f>(SUM('1.  LRAMVA Summary'!E$54:E$80)+SUM('1.  LRAMVA Summary'!E$81:E$82)*(MONTH($E161)-1)/12)*$H161</f>
        <v>6.8783113263999986</v>
      </c>
      <c r="K161" s="230">
        <f>(SUM('1.  LRAMVA Summary'!F$54:F$80)+SUM('1.  LRAMVA Summary'!F$81:F$82)*(MONTH($E161)-1)/12)*$H161</f>
        <v>-5.3544249599999985</v>
      </c>
      <c r="L161" s="230">
        <f>(SUM('1.  LRAMVA Summary'!G$54:G$80)+SUM('1.  LRAMVA Summary'!G$81:G$82)*(MONTH($E161)-1)/12)*$H161</f>
        <v>8.9218449321000044</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21.328532061000004</v>
      </c>
    </row>
    <row r="162" spans="2:23" s="9" customFormat="1" ht="15" thickBot="1">
      <c r="B162" s="66"/>
      <c r="E162" s="216" t="s">
        <v>470</v>
      </c>
      <c r="F162" s="216"/>
      <c r="G162" s="217"/>
      <c r="H162" s="218"/>
      <c r="I162" s="219">
        <f>SUM(I149:I161)</f>
        <v>1351.3598939406259</v>
      </c>
      <c r="J162" s="219">
        <f>SUM(J149:J161)</f>
        <v>954.09914288237928</v>
      </c>
      <c r="K162" s="219">
        <f t="shared" ref="K162:O162" si="93">SUM(K149:K161)</f>
        <v>-829.22091632029935</v>
      </c>
      <c r="L162" s="219">
        <f t="shared" si="93"/>
        <v>1701.9200883410417</v>
      </c>
      <c r="M162" s="219">
        <f t="shared" si="93"/>
        <v>0</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3178.158208843744</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724</v>
      </c>
      <c r="F164" s="225"/>
      <c r="G164" s="226"/>
      <c r="H164" s="227"/>
      <c r="I164" s="228">
        <f>I162+I163</f>
        <v>1351.3598939406259</v>
      </c>
      <c r="J164" s="228">
        <f t="shared" ref="J164:U164" si="95">J162+J163</f>
        <v>954.09914288237928</v>
      </c>
      <c r="K164" s="228">
        <f t="shared" si="95"/>
        <v>-829.22091632029935</v>
      </c>
      <c r="L164" s="228">
        <f t="shared" si="95"/>
        <v>1701.9200883410417</v>
      </c>
      <c r="M164" s="228">
        <f t="shared" si="95"/>
        <v>0</v>
      </c>
      <c r="N164" s="228">
        <f t="shared" si="95"/>
        <v>0</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3178.158208843744</v>
      </c>
    </row>
    <row r="165" spans="2:23">
      <c r="E165" s="214">
        <v>44197</v>
      </c>
      <c r="F165" s="214" t="s">
        <v>730</v>
      </c>
      <c r="G165" s="215" t="s">
        <v>65</v>
      </c>
      <c r="H165" s="240">
        <v>5.6999999999999998E-4</v>
      </c>
      <c r="I165" s="230">
        <f>(SUM('1.  LRAMVA Summary'!D$54:D$80)+SUM('1.  LRAMVA Summary'!D$81:D$82)*(MONTH($E165)-1)/12)*$H165</f>
        <v>13.059360915000001</v>
      </c>
      <c r="J165" s="230">
        <f>(SUM('1.  LRAMVA Summary'!E$54:E$80)+SUM('1.  LRAMVA Summary'!E$81:E$82)*(MONTH($E165)-1)/12)*$H165</f>
        <v>8.2539735916799977</v>
      </c>
      <c r="K165" s="230">
        <f>(SUM('1.  LRAMVA Summary'!F$54:F$80)+SUM('1.  LRAMVA Summary'!F$81:F$82)*(MONTH($E165)-1)/12)*$H165</f>
        <v>-6.4253099519999983</v>
      </c>
      <c r="L165" s="230">
        <f>(SUM('1.  LRAMVA Summary'!G$54:G$80)+SUM('1.  LRAMVA Summary'!G$81:G$82)*(MONTH($E165)-1)/12)*$H165</f>
        <v>10.706213918520003</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25.594238473200004</v>
      </c>
    </row>
    <row r="166" spans="2:23">
      <c r="E166" s="214">
        <v>44228</v>
      </c>
      <c r="F166" s="214" t="s">
        <v>730</v>
      </c>
      <c r="G166" s="215" t="s">
        <v>65</v>
      </c>
      <c r="H166" s="240">
        <v>5.6999999999999998E-4</v>
      </c>
      <c r="I166" s="230">
        <f>(SUM('1.  LRAMVA Summary'!D$54:D$80)+SUM('1.  LRAMVA Summary'!D$81:D$82)*(MONTH($E166)-1)/12)*$H166</f>
        <v>13.059360915000001</v>
      </c>
      <c r="J166" s="230">
        <f>(SUM('1.  LRAMVA Summary'!E$54:E$80)+SUM('1.  LRAMVA Summary'!E$81:E$82)*(MONTH($E166)-1)/12)*$H166</f>
        <v>8.2539735916799977</v>
      </c>
      <c r="K166" s="230">
        <f>(SUM('1.  LRAMVA Summary'!F$54:F$80)+SUM('1.  LRAMVA Summary'!F$81:F$82)*(MONTH($E166)-1)/12)*$H166</f>
        <v>-6.4253099519999983</v>
      </c>
      <c r="L166" s="230">
        <f>(SUM('1.  LRAMVA Summary'!G$54:G$80)+SUM('1.  LRAMVA Summary'!G$81:G$82)*(MONTH($E166)-1)/12)*$H166</f>
        <v>10.706213918520003</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25.594238473200004</v>
      </c>
    </row>
    <row r="167" spans="2:23">
      <c r="E167" s="214">
        <v>44256</v>
      </c>
      <c r="F167" s="214" t="s">
        <v>730</v>
      </c>
      <c r="G167" s="215" t="s">
        <v>65</v>
      </c>
      <c r="H167" s="240">
        <v>5.6999999999999998E-4</v>
      </c>
      <c r="I167" s="230">
        <f>(SUM('1.  LRAMVA Summary'!D$54:D$80)+SUM('1.  LRAMVA Summary'!D$81:D$82)*(MONTH($E167)-1)/12)*$H167</f>
        <v>13.059360915000001</v>
      </c>
      <c r="J167" s="230">
        <f>(SUM('1.  LRAMVA Summary'!E$54:E$80)+SUM('1.  LRAMVA Summary'!E$81:E$82)*(MONTH($E167)-1)/12)*$H167</f>
        <v>8.2539735916799977</v>
      </c>
      <c r="K167" s="230">
        <f>(SUM('1.  LRAMVA Summary'!F$54:F$80)+SUM('1.  LRAMVA Summary'!F$81:F$82)*(MONTH($E167)-1)/12)*$H167</f>
        <v>-6.4253099519999983</v>
      </c>
      <c r="L167" s="230">
        <f>(SUM('1.  LRAMVA Summary'!G$54:G$80)+SUM('1.  LRAMVA Summary'!G$81:G$82)*(MONTH($E167)-1)/12)*$H167</f>
        <v>10.706213918520003</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25.594238473200004</v>
      </c>
    </row>
    <row r="168" spans="2:23">
      <c r="E168" s="214">
        <v>44287</v>
      </c>
      <c r="F168" s="214" t="s">
        <v>730</v>
      </c>
      <c r="G168" s="215" t="s">
        <v>66</v>
      </c>
      <c r="H168" s="240">
        <v>5.6999999999999998E-4</v>
      </c>
      <c r="I168" s="230">
        <f>(SUM('1.  LRAMVA Summary'!D$54:D$80)+SUM('1.  LRAMVA Summary'!D$81:D$82)*(MONTH($E168)-1)/12)*$H168</f>
        <v>13.059360915000001</v>
      </c>
      <c r="J168" s="230">
        <f>(SUM('1.  LRAMVA Summary'!E$54:E$80)+SUM('1.  LRAMVA Summary'!E$81:E$82)*(MONTH($E168)-1)/12)*$H168</f>
        <v>8.2539735916799977</v>
      </c>
      <c r="K168" s="230">
        <f>(SUM('1.  LRAMVA Summary'!F$54:F$80)+SUM('1.  LRAMVA Summary'!F$81:F$82)*(MONTH($E168)-1)/12)*$H168</f>
        <v>-6.4253099519999983</v>
      </c>
      <c r="L168" s="230">
        <f>(SUM('1.  LRAMVA Summary'!G$54:G$80)+SUM('1.  LRAMVA Summary'!G$81:G$82)*(MONTH($E168)-1)/12)*$H168</f>
        <v>10.706213918520003</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25.594238473200004</v>
      </c>
    </row>
    <row r="169" spans="2:23">
      <c r="E169" s="214">
        <v>44317</v>
      </c>
      <c r="F169" s="214" t="s">
        <v>730</v>
      </c>
      <c r="G169" s="215" t="s">
        <v>66</v>
      </c>
      <c r="H169" s="240">
        <v>5.6999999999999998E-4</v>
      </c>
      <c r="I169" s="230">
        <f>(SUM('1.  LRAMVA Summary'!D$54:D$80)+SUM('1.  LRAMVA Summary'!D$81:D$82)*(MONTH($E169)-1)/12)*$H169</f>
        <v>13.059360915000001</v>
      </c>
      <c r="J169" s="230">
        <f>(SUM('1.  LRAMVA Summary'!E$54:E$80)+SUM('1.  LRAMVA Summary'!E$81:E$82)*(MONTH($E169)-1)/12)*$H169</f>
        <v>8.2539735916799977</v>
      </c>
      <c r="K169" s="230">
        <f>(SUM('1.  LRAMVA Summary'!F$54:F$80)+SUM('1.  LRAMVA Summary'!F$81:F$82)*(MONTH($E169)-1)/12)*$H169</f>
        <v>-6.4253099519999983</v>
      </c>
      <c r="L169" s="230">
        <f>(SUM('1.  LRAMVA Summary'!G$54:G$80)+SUM('1.  LRAMVA Summary'!G$81:G$82)*(MONTH($E169)-1)/12)*$H169</f>
        <v>10.706213918520003</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25.594238473200004</v>
      </c>
    </row>
    <row r="170" spans="2:23">
      <c r="E170" s="214">
        <v>44348</v>
      </c>
      <c r="F170" s="214" t="s">
        <v>730</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730</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730</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730</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730</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730</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730</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 thickBot="1">
      <c r="E177" s="216" t="s">
        <v>725</v>
      </c>
      <c r="F177" s="216"/>
      <c r="G177" s="217"/>
      <c r="H177" s="218"/>
      <c r="I177" s="219">
        <f>SUM(I164:I176)</f>
        <v>1416.6566985156262</v>
      </c>
      <c r="J177" s="219">
        <f>SUM(J164:J176)</f>
        <v>995.36901084077954</v>
      </c>
      <c r="K177" s="219">
        <f t="shared" ref="K177:V177" si="97">SUM(K164:K176)</f>
        <v>-861.34746608029945</v>
      </c>
      <c r="L177" s="219">
        <f t="shared" si="97"/>
        <v>1755.4511579336418</v>
      </c>
      <c r="M177" s="219">
        <f t="shared" si="97"/>
        <v>0</v>
      </c>
      <c r="N177" s="219">
        <f t="shared" si="97"/>
        <v>0</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3306.1294012097451</v>
      </c>
    </row>
    <row r="178" spans="5:23" ht="1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726</v>
      </c>
      <c r="F179" s="225"/>
      <c r="G179" s="226"/>
      <c r="H179" s="227"/>
      <c r="I179" s="228">
        <f>I177+I178</f>
        <v>1416.6566985156262</v>
      </c>
      <c r="J179" s="228">
        <f t="shared" ref="J179:U179" si="98">J177+J178</f>
        <v>995.36901084077954</v>
      </c>
      <c r="K179" s="228">
        <f t="shared" si="98"/>
        <v>-861.34746608029945</v>
      </c>
      <c r="L179" s="228">
        <f t="shared" si="98"/>
        <v>1755.4511579336418</v>
      </c>
      <c r="M179" s="228">
        <f t="shared" si="98"/>
        <v>0</v>
      </c>
      <c r="N179" s="228">
        <f t="shared" si="98"/>
        <v>0</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3306.1294012097451</v>
      </c>
    </row>
    <row r="180" spans="5:23">
      <c r="E180" s="214">
        <v>44562</v>
      </c>
      <c r="F180" s="214" t="s">
        <v>731</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731</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731</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731</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731</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731</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731</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731</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731</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731</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731</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731</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 thickBot="1">
      <c r="E192" s="216" t="s">
        <v>727</v>
      </c>
      <c r="F192" s="216"/>
      <c r="G192" s="217"/>
      <c r="H192" s="218"/>
      <c r="I192" s="219">
        <f>SUM(I179:I191)</f>
        <v>1416.6566985156262</v>
      </c>
      <c r="J192" s="219">
        <f>SUM(J179:J191)</f>
        <v>995.36901084077954</v>
      </c>
      <c r="K192" s="219">
        <f t="shared" ref="K192:V192" si="100">SUM(K179:K191)</f>
        <v>-861.34746608029945</v>
      </c>
      <c r="L192" s="219">
        <f t="shared" si="100"/>
        <v>1755.4511579336418</v>
      </c>
      <c r="M192" s="219">
        <f t="shared" si="100"/>
        <v>0</v>
      </c>
      <c r="N192" s="219">
        <f t="shared" si="100"/>
        <v>0</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3306.1294012097451</v>
      </c>
    </row>
    <row r="193" spans="5:23" ht="1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728</v>
      </c>
      <c r="F194" s="225"/>
      <c r="G194" s="226"/>
      <c r="H194" s="227"/>
      <c r="I194" s="228">
        <f>I192+I193</f>
        <v>1416.6566985156262</v>
      </c>
      <c r="J194" s="228">
        <f t="shared" ref="J194:U194" si="101">J192+J193</f>
        <v>995.36901084077954</v>
      </c>
      <c r="K194" s="228">
        <f t="shared" si="101"/>
        <v>-861.34746608029945</v>
      </c>
      <c r="L194" s="228">
        <f t="shared" si="101"/>
        <v>1755.4511579336418</v>
      </c>
      <c r="M194" s="228">
        <f t="shared" si="101"/>
        <v>0</v>
      </c>
      <c r="N194" s="228">
        <f t="shared" si="101"/>
        <v>0</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3306.1294012097451</v>
      </c>
    </row>
    <row r="195" spans="5:23">
      <c r="E195" s="214">
        <v>44927</v>
      </c>
      <c r="F195" s="214" t="s">
        <v>732</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732</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732</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732</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732</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732</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732</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732</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732</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732</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732</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732</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 thickBot="1">
      <c r="E207" s="216" t="s">
        <v>729</v>
      </c>
      <c r="F207" s="216"/>
      <c r="G207" s="217"/>
      <c r="H207" s="218"/>
      <c r="I207" s="219">
        <f>SUM(I194:I206)</f>
        <v>1416.6566985156262</v>
      </c>
      <c r="J207" s="219">
        <f>SUM(J194:J206)</f>
        <v>995.36901084077954</v>
      </c>
      <c r="K207" s="219">
        <f t="shared" ref="K207:V207" si="103">SUM(K194:K206)</f>
        <v>-861.34746608029945</v>
      </c>
      <c r="L207" s="219">
        <f t="shared" si="103"/>
        <v>1755.4511579336418</v>
      </c>
      <c r="M207" s="219">
        <f t="shared" si="103"/>
        <v>0</v>
      </c>
      <c r="N207" s="219">
        <f t="shared" si="103"/>
        <v>0</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3306.1294012097451</v>
      </c>
    </row>
    <row r="208" spans="5:23" ht="1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747</v>
      </c>
      <c r="F209" s="225"/>
      <c r="G209" s="226"/>
      <c r="H209" s="227"/>
      <c r="I209" s="228">
        <f>I207+I208</f>
        <v>1416.6566985156262</v>
      </c>
      <c r="J209" s="228">
        <f t="shared" ref="J209:U209" si="104">J207+J208</f>
        <v>995.36901084077954</v>
      </c>
      <c r="K209" s="228">
        <f t="shared" si="104"/>
        <v>-861.34746608029945</v>
      </c>
      <c r="L209" s="228">
        <f t="shared" si="104"/>
        <v>1755.4511579336418</v>
      </c>
      <c r="M209" s="228">
        <f t="shared" si="104"/>
        <v>0</v>
      </c>
      <c r="N209" s="228">
        <f t="shared" si="104"/>
        <v>0</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3306.1294012097451</v>
      </c>
    </row>
    <row r="210" spans="5:23">
      <c r="E210" s="214">
        <v>45292</v>
      </c>
      <c r="F210" s="214" t="s">
        <v>751</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751</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751</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751</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751</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751</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751</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751</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751</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751</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751</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751</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 thickBot="1">
      <c r="E222" s="216" t="s">
        <v>749</v>
      </c>
      <c r="F222" s="216"/>
      <c r="G222" s="217"/>
      <c r="H222" s="218"/>
      <c r="I222" s="219">
        <f>SUM(I209:I221)</f>
        <v>1416.6566985156262</v>
      </c>
      <c r="J222" s="219">
        <f>SUM(J209:J221)</f>
        <v>995.36901084077954</v>
      </c>
      <c r="K222" s="219">
        <f t="shared" ref="K222:V222" si="106">SUM(K209:K221)</f>
        <v>-861.34746608029945</v>
      </c>
      <c r="L222" s="219">
        <f t="shared" si="106"/>
        <v>1755.4511579336418</v>
      </c>
      <c r="M222" s="219">
        <f t="shared" si="106"/>
        <v>0</v>
      </c>
      <c r="N222" s="219">
        <f t="shared" si="106"/>
        <v>0</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3306.1294012097451</v>
      </c>
    </row>
    <row r="223" spans="5:23" ht="1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748</v>
      </c>
      <c r="F224" s="225"/>
      <c r="G224" s="226"/>
      <c r="H224" s="227"/>
      <c r="I224" s="228">
        <f>I222+I223</f>
        <v>1416.6566985156262</v>
      </c>
      <c r="J224" s="228">
        <f t="shared" ref="J224:U224" si="107">J222+J223</f>
        <v>995.36901084077954</v>
      </c>
      <c r="K224" s="228">
        <f t="shared" si="107"/>
        <v>-861.34746608029945</v>
      </c>
      <c r="L224" s="228">
        <f t="shared" si="107"/>
        <v>1755.4511579336418</v>
      </c>
      <c r="M224" s="228">
        <f t="shared" si="107"/>
        <v>0</v>
      </c>
      <c r="N224" s="228">
        <f t="shared" si="107"/>
        <v>0</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3306.1294012097451</v>
      </c>
    </row>
    <row r="225" spans="5:23">
      <c r="E225" s="214">
        <v>45658</v>
      </c>
      <c r="F225" s="214" t="s">
        <v>752</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752</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752</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752</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752</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752</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752</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752</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752</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752</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752</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752</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 thickBot="1">
      <c r="E237" s="216" t="s">
        <v>750</v>
      </c>
      <c r="F237" s="216"/>
      <c r="G237" s="217"/>
      <c r="H237" s="218"/>
      <c r="I237" s="219">
        <f>SUM(I224:I236)</f>
        <v>1416.6566985156262</v>
      </c>
      <c r="J237" s="219">
        <f>SUM(J224:J236)</f>
        <v>995.36901084077954</v>
      </c>
      <c r="K237" s="219">
        <f t="shared" ref="K237:U237" si="109">SUM(K224:K236)</f>
        <v>-861.34746608029945</v>
      </c>
      <c r="L237" s="219">
        <f t="shared" si="109"/>
        <v>1755.4511579336418</v>
      </c>
      <c r="M237" s="219">
        <f>SUM(M224:M236)</f>
        <v>0</v>
      </c>
      <c r="N237" s="219">
        <f t="shared" si="109"/>
        <v>0</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3306.1294012097451</v>
      </c>
    </row>
    <row r="238" spans="5:23" ht="1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W122"/>
  <sheetViews>
    <sheetView topLeftCell="A34" zoomScale="90" zoomScaleNormal="90" workbookViewId="0">
      <selection activeCell="AS42" sqref="AS42"/>
    </sheetView>
  </sheetViews>
  <sheetFormatPr defaultColWidth="9.109375" defaultRowHeight="14.4" outlineLevelRow="1"/>
  <cols>
    <col min="1" max="1" width="5.88671875" style="12" customWidth="1"/>
    <col min="2" max="2" width="24.33203125" style="12" customWidth="1"/>
    <col min="3" max="3" width="11.44140625" style="12" customWidth="1"/>
    <col min="4" max="4" width="37.5546875" style="12" customWidth="1"/>
    <col min="5" max="5" width="35.109375" style="12" bestFit="1" customWidth="1"/>
    <col min="6" max="6" width="26.5546875" style="12" customWidth="1"/>
    <col min="7" max="7" width="17" style="12" customWidth="1"/>
    <col min="8" max="8" width="19.44140625" style="12" customWidth="1"/>
    <col min="9" max="10" width="23" style="634" customWidth="1"/>
    <col min="11" max="11" width="2" style="16" customWidth="1"/>
    <col min="12" max="41" width="9.109375" style="12"/>
    <col min="42" max="42" width="2.109375" style="12" customWidth="1"/>
    <col min="43" max="43" width="12.5546875" style="12" customWidth="1"/>
    <col min="44" max="64" width="12" style="12" bestFit="1" customWidth="1"/>
    <col min="65" max="72" width="9.109375" style="12"/>
    <col min="73" max="73" width="9.109375" style="16"/>
    <col min="74" max="16384" width="9.109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6" t="s">
        <v>406</v>
      </c>
      <c r="E13" s="17"/>
      <c r="F13" s="177"/>
      <c r="G13" s="178"/>
      <c r="H13" s="179"/>
      <c r="K13" s="179"/>
      <c r="L13" s="177"/>
      <c r="M13" s="177"/>
      <c r="N13" s="177"/>
      <c r="O13" s="177"/>
      <c r="P13" s="177"/>
      <c r="Q13" s="180"/>
    </row>
    <row r="14" spans="2:73" ht="30" customHeight="1" outlineLevel="1" thickBot="1">
      <c r="B14" s="90"/>
      <c r="D14" s="609" t="s">
        <v>552</v>
      </c>
      <c r="I14" s="12"/>
      <c r="J14" s="12"/>
      <c r="BU14" s="12"/>
    </row>
    <row r="15" spans="2:73" ht="26.25" customHeight="1" outlineLevel="1">
      <c r="C15" s="90"/>
      <c r="I15" s="12"/>
      <c r="J15" s="12"/>
    </row>
    <row r="16" spans="2:73" ht="23.25" customHeight="1" outlineLevel="1">
      <c r="B16" s="116" t="s">
        <v>505</v>
      </c>
      <c r="C16" s="90"/>
      <c r="D16" s="614" t="s">
        <v>612</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606</v>
      </c>
      <c r="C17" s="90"/>
      <c r="D17" s="610" t="s">
        <v>584</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619</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618</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620</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2" t="s">
        <v>630</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6">
      <c r="B23" s="182" t="s">
        <v>589</v>
      </c>
      <c r="H23" s="10"/>
      <c r="I23" s="10"/>
      <c r="J23" s="10"/>
    </row>
    <row r="24" spans="2:73" s="669" customFormat="1" ht="21" customHeight="1">
      <c r="B24" s="701" t="s">
        <v>593</v>
      </c>
      <c r="C24" s="893" t="s">
        <v>594</v>
      </c>
      <c r="D24" s="893"/>
      <c r="E24" s="893"/>
      <c r="F24" s="893"/>
      <c r="G24" s="893"/>
      <c r="H24" s="677" t="s">
        <v>591</v>
      </c>
      <c r="I24" s="677" t="s">
        <v>590</v>
      </c>
      <c r="J24" s="677" t="s">
        <v>592</v>
      </c>
      <c r="K24" s="668"/>
      <c r="L24" s="669" t="s">
        <v>594</v>
      </c>
      <c r="AQ24" s="669" t="s">
        <v>594</v>
      </c>
      <c r="BU24" s="668"/>
    </row>
    <row r="25" spans="2:73" s="250" customFormat="1" ht="49.5" customHeight="1">
      <c r="B25" s="245" t="s">
        <v>473</v>
      </c>
      <c r="C25" s="245" t="s">
        <v>211</v>
      </c>
      <c r="D25" s="627" t="s">
        <v>474</v>
      </c>
      <c r="E25" s="245" t="s">
        <v>208</v>
      </c>
      <c r="F25" s="245" t="s">
        <v>475</v>
      </c>
      <c r="G25" s="245" t="s">
        <v>476</v>
      </c>
      <c r="H25" s="627" t="s">
        <v>477</v>
      </c>
      <c r="I25" s="635" t="s">
        <v>582</v>
      </c>
      <c r="J25" s="642" t="s">
        <v>583</v>
      </c>
      <c r="K25" s="640"/>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813" customFormat="1" ht="15.6">
      <c r="B27" s="757" t="s">
        <v>29</v>
      </c>
      <c r="C27" s="757" t="s">
        <v>504</v>
      </c>
      <c r="D27" s="757" t="s">
        <v>767</v>
      </c>
      <c r="E27" s="757" t="s">
        <v>754</v>
      </c>
      <c r="F27" s="757"/>
      <c r="G27" s="757"/>
      <c r="H27" s="757">
        <v>2015</v>
      </c>
      <c r="I27" s="756" t="s">
        <v>576</v>
      </c>
      <c r="J27" s="756" t="s">
        <v>588</v>
      </c>
      <c r="K27" s="815"/>
      <c r="L27" s="816"/>
      <c r="M27" s="817"/>
      <c r="N27" s="817"/>
      <c r="O27" s="817"/>
      <c r="P27" s="817">
        <v>3</v>
      </c>
      <c r="Q27" s="817">
        <v>3</v>
      </c>
      <c r="R27" s="817">
        <v>3</v>
      </c>
      <c r="S27" s="817">
        <v>3</v>
      </c>
      <c r="T27" s="817">
        <v>3</v>
      </c>
      <c r="U27" s="817">
        <v>3</v>
      </c>
      <c r="V27" s="817">
        <v>3</v>
      </c>
      <c r="W27" s="817">
        <v>3</v>
      </c>
      <c r="X27" s="817">
        <v>3</v>
      </c>
      <c r="Y27" s="817">
        <v>3</v>
      </c>
      <c r="Z27" s="817">
        <v>3</v>
      </c>
      <c r="AA27" s="817">
        <v>3</v>
      </c>
      <c r="AB27" s="817">
        <v>3</v>
      </c>
      <c r="AC27" s="817">
        <v>3</v>
      </c>
      <c r="AD27" s="817">
        <v>3</v>
      </c>
      <c r="AE27" s="817">
        <v>3</v>
      </c>
      <c r="AF27" s="817">
        <v>1</v>
      </c>
      <c r="AG27" s="817">
        <v>1</v>
      </c>
      <c r="AH27" s="817">
        <v>1</v>
      </c>
      <c r="AI27" s="817">
        <v>1</v>
      </c>
      <c r="AJ27" s="817">
        <v>0</v>
      </c>
      <c r="AK27" s="817">
        <v>0</v>
      </c>
      <c r="AL27" s="817">
        <v>0</v>
      </c>
      <c r="AM27" s="817">
        <v>0</v>
      </c>
      <c r="AN27" s="817">
        <v>0</v>
      </c>
      <c r="AO27" s="817">
        <v>0</v>
      </c>
      <c r="AP27" s="815"/>
      <c r="AQ27" s="816"/>
      <c r="AR27" s="817"/>
      <c r="AS27" s="817"/>
      <c r="AT27" s="817"/>
      <c r="AU27" s="817">
        <v>49903</v>
      </c>
      <c r="AV27" s="817">
        <v>49448</v>
      </c>
      <c r="AW27" s="817">
        <v>49448</v>
      </c>
      <c r="AX27" s="817">
        <v>49448</v>
      </c>
      <c r="AY27" s="817">
        <v>49448</v>
      </c>
      <c r="AZ27" s="817">
        <v>49448</v>
      </c>
      <c r="BA27" s="817">
        <v>49448</v>
      </c>
      <c r="BB27" s="817">
        <v>49438</v>
      </c>
      <c r="BC27" s="817">
        <v>49438</v>
      </c>
      <c r="BD27" s="817">
        <v>49438</v>
      </c>
      <c r="BE27" s="817">
        <v>45611</v>
      </c>
      <c r="BF27" s="817">
        <v>45445</v>
      </c>
      <c r="BG27" s="817">
        <v>45445</v>
      </c>
      <c r="BH27" s="817">
        <v>45288</v>
      </c>
      <c r="BI27" s="817">
        <v>45288</v>
      </c>
      <c r="BJ27" s="817">
        <v>45268</v>
      </c>
      <c r="BK27" s="817">
        <v>16920</v>
      </c>
      <c r="BL27" s="817">
        <v>16920</v>
      </c>
      <c r="BM27" s="817">
        <v>16920</v>
      </c>
      <c r="BN27" s="817">
        <v>16920</v>
      </c>
      <c r="BO27" s="817"/>
      <c r="BP27" s="817"/>
      <c r="BQ27" s="817"/>
      <c r="BR27" s="817"/>
      <c r="BS27" s="817"/>
      <c r="BT27" s="817"/>
      <c r="BU27" s="812"/>
    </row>
    <row r="28" spans="2:73" s="17" customFormat="1" ht="15.6">
      <c r="B28" s="757" t="s">
        <v>29</v>
      </c>
      <c r="C28" s="691" t="s">
        <v>504</v>
      </c>
      <c r="D28" s="757" t="s">
        <v>96</v>
      </c>
      <c r="E28" s="691" t="s">
        <v>754</v>
      </c>
      <c r="F28" s="691"/>
      <c r="G28" s="691"/>
      <c r="H28" s="691">
        <v>2015</v>
      </c>
      <c r="I28" s="643" t="s">
        <v>576</v>
      </c>
      <c r="J28" s="643" t="s">
        <v>588</v>
      </c>
      <c r="K28" s="632"/>
      <c r="L28" s="695"/>
      <c r="M28" s="696"/>
      <c r="N28" s="696"/>
      <c r="O28" s="696"/>
      <c r="P28" s="817">
        <v>6</v>
      </c>
      <c r="Q28" s="817">
        <v>6</v>
      </c>
      <c r="R28" s="817">
        <v>6</v>
      </c>
      <c r="S28" s="817">
        <v>6</v>
      </c>
      <c r="T28" s="817">
        <v>6</v>
      </c>
      <c r="U28" s="817">
        <v>6</v>
      </c>
      <c r="V28" s="817">
        <v>6</v>
      </c>
      <c r="W28" s="817">
        <v>6</v>
      </c>
      <c r="X28" s="817">
        <v>6</v>
      </c>
      <c r="Y28" s="817">
        <v>6</v>
      </c>
      <c r="Z28" s="817">
        <v>5</v>
      </c>
      <c r="AA28" s="817">
        <v>5</v>
      </c>
      <c r="AB28" s="817">
        <v>5</v>
      </c>
      <c r="AC28" s="817">
        <v>5</v>
      </c>
      <c r="AD28" s="817">
        <v>5</v>
      </c>
      <c r="AE28" s="817">
        <v>5</v>
      </c>
      <c r="AF28" s="817">
        <v>2</v>
      </c>
      <c r="AG28" s="817">
        <v>2</v>
      </c>
      <c r="AH28" s="817">
        <v>2</v>
      </c>
      <c r="AI28" s="817">
        <v>2</v>
      </c>
      <c r="AJ28" s="817">
        <v>0</v>
      </c>
      <c r="AK28" s="817">
        <v>0</v>
      </c>
      <c r="AL28" s="817">
        <v>0</v>
      </c>
      <c r="AM28" s="817">
        <v>0</v>
      </c>
      <c r="AN28" s="817">
        <v>0</v>
      </c>
      <c r="AO28" s="817">
        <v>0</v>
      </c>
      <c r="AP28" s="632"/>
      <c r="AQ28" s="695"/>
      <c r="AR28" s="696"/>
      <c r="AS28" s="696"/>
      <c r="AT28" s="696"/>
      <c r="AU28" s="817">
        <v>92192</v>
      </c>
      <c r="AV28" s="817">
        <v>90553</v>
      </c>
      <c r="AW28" s="817">
        <v>90553</v>
      </c>
      <c r="AX28" s="817">
        <v>90553</v>
      </c>
      <c r="AY28" s="817">
        <v>90553</v>
      </c>
      <c r="AZ28" s="817">
        <v>90553</v>
      </c>
      <c r="BA28" s="817">
        <v>90553</v>
      </c>
      <c r="BB28" s="817">
        <v>90506</v>
      </c>
      <c r="BC28" s="817">
        <v>90506</v>
      </c>
      <c r="BD28" s="817">
        <v>90506</v>
      </c>
      <c r="BE28" s="817">
        <v>83459</v>
      </c>
      <c r="BF28" s="817">
        <v>79162</v>
      </c>
      <c r="BG28" s="817">
        <v>79162</v>
      </c>
      <c r="BH28" s="817">
        <v>77459</v>
      </c>
      <c r="BI28" s="817">
        <v>77459</v>
      </c>
      <c r="BJ28" s="817">
        <v>77279</v>
      </c>
      <c r="BK28" s="817">
        <v>28629</v>
      </c>
      <c r="BL28" s="817">
        <v>28629</v>
      </c>
      <c r="BM28" s="817">
        <v>28629</v>
      </c>
      <c r="BN28" s="817">
        <v>28629</v>
      </c>
      <c r="BO28" s="817"/>
      <c r="BP28" s="817"/>
      <c r="BQ28" s="817"/>
      <c r="BR28" s="817"/>
      <c r="BS28" s="817"/>
      <c r="BT28" s="817"/>
      <c r="BU28" s="16"/>
    </row>
    <row r="29" spans="2:73" s="17" customFormat="1" ht="16.5" customHeight="1">
      <c r="B29" s="691" t="s">
        <v>29</v>
      </c>
      <c r="C29" s="691" t="s">
        <v>504</v>
      </c>
      <c r="D29" s="757" t="s">
        <v>768</v>
      </c>
      <c r="E29" s="691" t="s">
        <v>754</v>
      </c>
      <c r="F29" s="691"/>
      <c r="G29" s="691"/>
      <c r="H29" s="691">
        <v>2015</v>
      </c>
      <c r="I29" s="643" t="s">
        <v>576</v>
      </c>
      <c r="J29" s="643" t="s">
        <v>588</v>
      </c>
      <c r="K29" s="632"/>
      <c r="L29" s="695"/>
      <c r="M29" s="696"/>
      <c r="N29" s="696"/>
      <c r="O29" s="696"/>
      <c r="P29" s="817">
        <v>2</v>
      </c>
      <c r="Q29" s="817">
        <v>2</v>
      </c>
      <c r="R29" s="817">
        <v>2</v>
      </c>
      <c r="S29" s="817">
        <v>1</v>
      </c>
      <c r="T29" s="817">
        <v>1</v>
      </c>
      <c r="U29" s="817">
        <v>0</v>
      </c>
      <c r="V29" s="817">
        <v>0</v>
      </c>
      <c r="W29" s="817">
        <v>0</v>
      </c>
      <c r="X29" s="817">
        <v>17</v>
      </c>
      <c r="Y29" s="817">
        <v>17</v>
      </c>
      <c r="Z29" s="817">
        <v>17</v>
      </c>
      <c r="AA29" s="817">
        <v>17</v>
      </c>
      <c r="AB29" s="817">
        <v>17</v>
      </c>
      <c r="AC29" s="817">
        <v>17</v>
      </c>
      <c r="AD29" s="817">
        <v>17</v>
      </c>
      <c r="AE29" s="817">
        <v>17</v>
      </c>
      <c r="AF29" s="817">
        <v>17</v>
      </c>
      <c r="AG29" s="817">
        <v>17</v>
      </c>
      <c r="AH29" s="817">
        <v>17</v>
      </c>
      <c r="AI29" s="817">
        <v>0</v>
      </c>
      <c r="AJ29" s="817">
        <v>0</v>
      </c>
      <c r="AK29" s="817">
        <v>0</v>
      </c>
      <c r="AL29" s="817">
        <v>0</v>
      </c>
      <c r="AM29" s="817">
        <v>0</v>
      </c>
      <c r="AN29" s="817">
        <v>0</v>
      </c>
      <c r="AO29" s="817">
        <v>0</v>
      </c>
      <c r="AP29" s="632"/>
      <c r="AQ29" s="695"/>
      <c r="AR29" s="696"/>
      <c r="AS29" s="696"/>
      <c r="AT29" s="696"/>
      <c r="AU29" s="817">
        <v>9575</v>
      </c>
      <c r="AV29" s="817">
        <v>9575</v>
      </c>
      <c r="AW29" s="817">
        <v>9575</v>
      </c>
      <c r="AX29" s="817">
        <v>9262</v>
      </c>
      <c r="AY29" s="817">
        <v>5698</v>
      </c>
      <c r="AZ29" s="817">
        <v>0</v>
      </c>
      <c r="BA29" s="817">
        <v>0</v>
      </c>
      <c r="BB29" s="817">
        <v>0</v>
      </c>
      <c r="BC29" s="817">
        <v>0</v>
      </c>
      <c r="BD29" s="817">
        <v>0</v>
      </c>
      <c r="BE29" s="817">
        <v>0</v>
      </c>
      <c r="BF29" s="817">
        <v>0</v>
      </c>
      <c r="BG29" s="817">
        <v>0</v>
      </c>
      <c r="BH29" s="817">
        <v>0</v>
      </c>
      <c r="BI29" s="817">
        <v>0</v>
      </c>
      <c r="BJ29" s="817">
        <v>0</v>
      </c>
      <c r="BK29" s="817">
        <v>0</v>
      </c>
      <c r="BL29" s="817">
        <v>0</v>
      </c>
      <c r="BM29" s="817">
        <v>0</v>
      </c>
      <c r="BN29" s="817">
        <v>0</v>
      </c>
      <c r="BO29" s="817"/>
      <c r="BP29" s="817"/>
      <c r="BQ29" s="817"/>
      <c r="BR29" s="817"/>
      <c r="BS29" s="817"/>
      <c r="BT29" s="817"/>
      <c r="BU29" s="16"/>
    </row>
    <row r="30" spans="2:73" s="17" customFormat="1" ht="15.6">
      <c r="B30" s="757" t="s">
        <v>29</v>
      </c>
      <c r="C30" s="691" t="s">
        <v>504</v>
      </c>
      <c r="D30" s="757" t="s">
        <v>675</v>
      </c>
      <c r="E30" s="691" t="s">
        <v>754</v>
      </c>
      <c r="F30" s="691"/>
      <c r="G30" s="691"/>
      <c r="H30" s="691">
        <v>2015</v>
      </c>
      <c r="I30" s="643" t="s">
        <v>576</v>
      </c>
      <c r="J30" s="643" t="s">
        <v>588</v>
      </c>
      <c r="K30" s="632"/>
      <c r="L30" s="695"/>
      <c r="M30" s="696"/>
      <c r="N30" s="696"/>
      <c r="O30" s="696"/>
      <c r="P30" s="817">
        <v>17</v>
      </c>
      <c r="Q30" s="817">
        <v>17</v>
      </c>
      <c r="R30" s="817">
        <v>17</v>
      </c>
      <c r="S30" s="817">
        <v>17</v>
      </c>
      <c r="T30" s="817">
        <v>17</v>
      </c>
      <c r="U30" s="817">
        <v>17</v>
      </c>
      <c r="V30" s="817">
        <v>17</v>
      </c>
      <c r="W30" s="817">
        <v>17</v>
      </c>
      <c r="X30" s="817">
        <v>17</v>
      </c>
      <c r="Y30" s="817">
        <v>17</v>
      </c>
      <c r="Z30" s="817">
        <v>17</v>
      </c>
      <c r="AA30" s="817">
        <v>17</v>
      </c>
      <c r="AB30" s="817">
        <v>17</v>
      </c>
      <c r="AC30" s="817">
        <v>17</v>
      </c>
      <c r="AD30" s="817">
        <v>17</v>
      </c>
      <c r="AE30" s="817">
        <v>17</v>
      </c>
      <c r="AF30" s="817">
        <v>17</v>
      </c>
      <c r="AG30" s="817">
        <v>17</v>
      </c>
      <c r="AH30" s="817">
        <v>17</v>
      </c>
      <c r="AI30" s="817">
        <v>0</v>
      </c>
      <c r="AJ30" s="817">
        <v>0</v>
      </c>
      <c r="AK30" s="817">
        <v>0</v>
      </c>
      <c r="AL30" s="817">
        <v>0</v>
      </c>
      <c r="AM30" s="817">
        <v>0</v>
      </c>
      <c r="AN30" s="817">
        <v>0</v>
      </c>
      <c r="AO30" s="817">
        <v>0</v>
      </c>
      <c r="AP30" s="632"/>
      <c r="AQ30" s="695"/>
      <c r="AR30" s="696"/>
      <c r="AS30" s="696"/>
      <c r="AT30" s="696"/>
      <c r="AU30" s="817">
        <v>35061</v>
      </c>
      <c r="AV30" s="817">
        <v>35061</v>
      </c>
      <c r="AW30" s="817">
        <v>35061</v>
      </c>
      <c r="AX30" s="817">
        <v>35061</v>
      </c>
      <c r="AY30" s="817">
        <v>35061</v>
      </c>
      <c r="AZ30" s="817">
        <v>35061</v>
      </c>
      <c r="BA30" s="817">
        <v>35061</v>
      </c>
      <c r="BB30" s="817">
        <v>35061</v>
      </c>
      <c r="BC30" s="817">
        <v>35061</v>
      </c>
      <c r="BD30" s="817">
        <v>35061</v>
      </c>
      <c r="BE30" s="817">
        <v>35061</v>
      </c>
      <c r="BF30" s="817">
        <v>35061</v>
      </c>
      <c r="BG30" s="817">
        <v>35061</v>
      </c>
      <c r="BH30" s="817">
        <v>35061</v>
      </c>
      <c r="BI30" s="817">
        <v>35061</v>
      </c>
      <c r="BJ30" s="817">
        <v>35061</v>
      </c>
      <c r="BK30" s="817">
        <v>35061</v>
      </c>
      <c r="BL30" s="817">
        <v>35061</v>
      </c>
      <c r="BM30" s="817">
        <v>34993</v>
      </c>
      <c r="BN30" s="817">
        <v>0</v>
      </c>
      <c r="BO30" s="817"/>
      <c r="BP30" s="817"/>
      <c r="BQ30" s="817"/>
      <c r="BR30" s="817"/>
      <c r="BS30" s="817"/>
      <c r="BT30" s="817"/>
      <c r="BU30" s="16"/>
    </row>
    <row r="31" spans="2:73" s="17" customFormat="1" ht="15.6">
      <c r="B31" s="691" t="s">
        <v>769</v>
      </c>
      <c r="C31" s="691" t="s">
        <v>504</v>
      </c>
      <c r="D31" s="691" t="s">
        <v>100</v>
      </c>
      <c r="E31" s="691" t="s">
        <v>754</v>
      </c>
      <c r="F31" s="691"/>
      <c r="G31" s="691"/>
      <c r="H31" s="691">
        <v>2015</v>
      </c>
      <c r="I31" s="643" t="s">
        <v>576</v>
      </c>
      <c r="J31" s="643" t="s">
        <v>588</v>
      </c>
      <c r="K31" s="632"/>
      <c r="L31" s="695"/>
      <c r="M31" s="696"/>
      <c r="N31" s="696"/>
      <c r="O31" s="696"/>
      <c r="P31" s="817">
        <v>1</v>
      </c>
      <c r="Q31" s="817">
        <v>1</v>
      </c>
      <c r="R31" s="817">
        <v>0</v>
      </c>
      <c r="S31" s="817">
        <v>0</v>
      </c>
      <c r="T31" s="817">
        <v>0</v>
      </c>
      <c r="U31" s="817">
        <v>0</v>
      </c>
      <c r="V31" s="817">
        <v>0</v>
      </c>
      <c r="W31" s="817">
        <v>0</v>
      </c>
      <c r="X31" s="817">
        <v>0</v>
      </c>
      <c r="Y31" s="817">
        <v>0</v>
      </c>
      <c r="Z31" s="817">
        <v>0</v>
      </c>
      <c r="AA31" s="817">
        <v>0</v>
      </c>
      <c r="AB31" s="817">
        <v>0</v>
      </c>
      <c r="AC31" s="817">
        <v>0</v>
      </c>
      <c r="AD31" s="817">
        <v>0</v>
      </c>
      <c r="AE31" s="817">
        <v>0</v>
      </c>
      <c r="AF31" s="817">
        <v>0</v>
      </c>
      <c r="AG31" s="817">
        <v>0</v>
      </c>
      <c r="AH31" s="817">
        <v>0</v>
      </c>
      <c r="AI31" s="817">
        <v>0</v>
      </c>
      <c r="AJ31" s="817">
        <v>0</v>
      </c>
      <c r="AK31" s="817">
        <v>0</v>
      </c>
      <c r="AL31" s="817">
        <v>0</v>
      </c>
      <c r="AM31" s="817">
        <v>0</v>
      </c>
      <c r="AN31" s="817">
        <v>0</v>
      </c>
      <c r="AO31" s="817">
        <v>0</v>
      </c>
      <c r="AP31" s="632"/>
      <c r="AQ31" s="695"/>
      <c r="AR31" s="696"/>
      <c r="AS31" s="696"/>
      <c r="AT31" s="696"/>
      <c r="AU31" s="817">
        <v>76066</v>
      </c>
      <c r="AV31" s="817">
        <v>76066</v>
      </c>
      <c r="AW31" s="817">
        <v>74697</v>
      </c>
      <c r="AX31" s="817">
        <v>74697</v>
      </c>
      <c r="AY31" s="817">
        <v>74697</v>
      </c>
      <c r="AZ31" s="817">
        <v>74697</v>
      </c>
      <c r="BA31" s="817">
        <v>74697</v>
      </c>
      <c r="BB31" s="817">
        <v>74697</v>
      </c>
      <c r="BC31" s="817">
        <v>74697</v>
      </c>
      <c r="BD31" s="817">
        <v>74697</v>
      </c>
      <c r="BE31" s="817">
        <v>74697</v>
      </c>
      <c r="BF31" s="817">
        <v>74697</v>
      </c>
      <c r="BG31" s="817"/>
      <c r="BH31" s="817"/>
      <c r="BI31" s="817"/>
      <c r="BJ31" s="817"/>
      <c r="BK31" s="817"/>
      <c r="BL31" s="817"/>
      <c r="BM31" s="817"/>
      <c r="BN31" s="817"/>
      <c r="BO31" s="817"/>
      <c r="BP31" s="817"/>
      <c r="BQ31" s="817"/>
      <c r="BR31" s="817"/>
      <c r="BS31" s="817"/>
      <c r="BT31" s="817"/>
      <c r="BU31" s="16"/>
    </row>
    <row r="32" spans="2:73" s="17" customFormat="1" ht="15.6">
      <c r="B32" s="691" t="s">
        <v>770</v>
      </c>
      <c r="C32" s="691" t="s">
        <v>504</v>
      </c>
      <c r="D32" s="691" t="s">
        <v>108</v>
      </c>
      <c r="E32" s="691" t="s">
        <v>754</v>
      </c>
      <c r="F32" s="691"/>
      <c r="G32" s="691"/>
      <c r="H32" s="691">
        <v>2015</v>
      </c>
      <c r="I32" s="643" t="s">
        <v>576</v>
      </c>
      <c r="J32" s="643" t="s">
        <v>588</v>
      </c>
      <c r="K32" s="632"/>
      <c r="L32" s="695"/>
      <c r="M32" s="696"/>
      <c r="N32" s="696"/>
      <c r="O32" s="696"/>
      <c r="P32" s="817">
        <v>1</v>
      </c>
      <c r="Q32" s="817">
        <v>1</v>
      </c>
      <c r="R32" s="817">
        <v>1</v>
      </c>
      <c r="S32" s="817">
        <v>1</v>
      </c>
      <c r="T32" s="817">
        <v>1</v>
      </c>
      <c r="U32" s="817">
        <v>1</v>
      </c>
      <c r="V32" s="817">
        <v>1</v>
      </c>
      <c r="W32" s="817">
        <v>1</v>
      </c>
      <c r="X32" s="817">
        <v>1</v>
      </c>
      <c r="Y32" s="817">
        <v>1</v>
      </c>
      <c r="Z32" s="817">
        <v>0</v>
      </c>
      <c r="AA32" s="817">
        <v>0</v>
      </c>
      <c r="AB32" s="817">
        <v>0</v>
      </c>
      <c r="AC32" s="817">
        <v>0</v>
      </c>
      <c r="AD32" s="817">
        <v>0</v>
      </c>
      <c r="AE32" s="817">
        <v>0</v>
      </c>
      <c r="AF32" s="817">
        <v>0</v>
      </c>
      <c r="AG32" s="817">
        <v>0</v>
      </c>
      <c r="AH32" s="817">
        <v>0</v>
      </c>
      <c r="AI32" s="817">
        <v>0</v>
      </c>
      <c r="AJ32" s="817">
        <v>0</v>
      </c>
      <c r="AK32" s="817">
        <v>0</v>
      </c>
      <c r="AL32" s="817">
        <v>0</v>
      </c>
      <c r="AM32" s="817">
        <v>0</v>
      </c>
      <c r="AN32" s="817">
        <v>0</v>
      </c>
      <c r="AO32" s="817"/>
      <c r="AP32" s="632"/>
      <c r="AQ32" s="695"/>
      <c r="AR32" s="696"/>
      <c r="AS32" s="696"/>
      <c r="AT32" s="696"/>
      <c r="AU32" s="817">
        <v>5872</v>
      </c>
      <c r="AV32" s="817">
        <v>5136</v>
      </c>
      <c r="AW32" s="817">
        <v>5032</v>
      </c>
      <c r="AX32" s="817">
        <v>4928</v>
      </c>
      <c r="AY32" s="817">
        <v>4928</v>
      </c>
      <c r="AZ32" s="817">
        <v>4928</v>
      </c>
      <c r="BA32" s="817">
        <v>4697</v>
      </c>
      <c r="BB32" s="817">
        <v>4647</v>
      </c>
      <c r="BC32" s="817">
        <v>3583</v>
      </c>
      <c r="BD32" s="817">
        <v>3583</v>
      </c>
      <c r="BE32" s="817">
        <v>3378</v>
      </c>
      <c r="BF32" s="817">
        <v>3378</v>
      </c>
      <c r="BG32" s="817">
        <v>3135</v>
      </c>
      <c r="BH32" s="817">
        <v>3135</v>
      </c>
      <c r="BI32" s="817">
        <v>1251</v>
      </c>
      <c r="BJ32" s="817">
        <v>1183</v>
      </c>
      <c r="BK32" s="817">
        <v>1183</v>
      </c>
      <c r="BL32" s="817">
        <v>1183</v>
      </c>
      <c r="BM32" s="817">
        <v>1183</v>
      </c>
      <c r="BN32" s="817">
        <v>1183</v>
      </c>
      <c r="BO32" s="817">
        <v>1183</v>
      </c>
      <c r="BP32" s="817">
        <v>0</v>
      </c>
      <c r="BQ32" s="817"/>
      <c r="BR32" s="817"/>
      <c r="BS32" s="817"/>
      <c r="BT32" s="817"/>
      <c r="BU32" s="16"/>
    </row>
    <row r="33" spans="2:75" s="17" customFormat="1" ht="15.6">
      <c r="B33" s="757" t="s">
        <v>29</v>
      </c>
      <c r="C33" s="757" t="s">
        <v>504</v>
      </c>
      <c r="D33" s="757" t="s">
        <v>767</v>
      </c>
      <c r="E33" s="757" t="s">
        <v>754</v>
      </c>
      <c r="F33" s="691"/>
      <c r="G33" s="691"/>
      <c r="H33" s="691">
        <v>2015</v>
      </c>
      <c r="I33" s="643" t="s">
        <v>576</v>
      </c>
      <c r="J33" s="643" t="s">
        <v>581</v>
      </c>
      <c r="K33" s="632"/>
      <c r="L33" s="695"/>
      <c r="M33" s="696"/>
      <c r="N33" s="696"/>
      <c r="O33" s="696"/>
      <c r="P33" s="817">
        <v>1</v>
      </c>
      <c r="Q33" s="817">
        <v>1</v>
      </c>
      <c r="R33" s="817">
        <v>1</v>
      </c>
      <c r="S33" s="817">
        <v>1</v>
      </c>
      <c r="T33" s="817">
        <v>1</v>
      </c>
      <c r="U33" s="817">
        <v>1</v>
      </c>
      <c r="V33" s="817">
        <v>1</v>
      </c>
      <c r="W33" s="817">
        <v>1</v>
      </c>
      <c r="X33" s="817">
        <v>1</v>
      </c>
      <c r="Y33" s="817">
        <v>1</v>
      </c>
      <c r="Z33" s="817">
        <v>1</v>
      </c>
      <c r="AA33" s="817">
        <v>1</v>
      </c>
      <c r="AB33" s="817">
        <v>1</v>
      </c>
      <c r="AC33" s="817">
        <v>1</v>
      </c>
      <c r="AD33" s="817">
        <v>1</v>
      </c>
      <c r="AE33" s="817">
        <v>1</v>
      </c>
      <c r="AF33" s="817">
        <v>0</v>
      </c>
      <c r="AG33" s="817"/>
      <c r="AH33" s="817"/>
      <c r="AI33" s="817"/>
      <c r="AJ33" s="817"/>
      <c r="AK33" s="817"/>
      <c r="AL33" s="817"/>
      <c r="AM33" s="817"/>
      <c r="AN33" s="817"/>
      <c r="AO33" s="817"/>
      <c r="AP33" s="632"/>
      <c r="AQ33" s="695"/>
      <c r="AR33" s="696"/>
      <c r="AS33" s="696"/>
      <c r="AT33" s="696"/>
      <c r="AU33" s="817">
        <v>8334</v>
      </c>
      <c r="AV33" s="817">
        <v>8214</v>
      </c>
      <c r="AW33" s="817">
        <v>8214</v>
      </c>
      <c r="AX33" s="817">
        <v>8214</v>
      </c>
      <c r="AY33" s="817">
        <v>8214</v>
      </c>
      <c r="AZ33" s="817">
        <v>8214</v>
      </c>
      <c r="BA33" s="817">
        <v>8214</v>
      </c>
      <c r="BB33" s="817">
        <v>8211</v>
      </c>
      <c r="BC33" s="817">
        <v>8211</v>
      </c>
      <c r="BD33" s="817">
        <v>8211</v>
      </c>
      <c r="BE33" s="817">
        <v>8007</v>
      </c>
      <c r="BF33" s="817">
        <v>7998</v>
      </c>
      <c r="BG33" s="817">
        <v>7998</v>
      </c>
      <c r="BH33" s="817">
        <v>7980</v>
      </c>
      <c r="BI33" s="817">
        <v>7980</v>
      </c>
      <c r="BJ33" s="817">
        <v>7965</v>
      </c>
      <c r="BK33" s="817">
        <v>4128</v>
      </c>
      <c r="BL33" s="817">
        <v>4128</v>
      </c>
      <c r="BM33" s="817">
        <v>4128</v>
      </c>
      <c r="BN33" s="817">
        <v>4128</v>
      </c>
      <c r="BO33" s="817">
        <v>0</v>
      </c>
      <c r="BP33" s="817">
        <v>0</v>
      </c>
      <c r="BQ33" s="817">
        <v>0</v>
      </c>
      <c r="BR33" s="817">
        <v>0</v>
      </c>
      <c r="BS33" s="817">
        <v>0</v>
      </c>
      <c r="BT33" s="817"/>
      <c r="BU33" s="16"/>
    </row>
    <row r="34" spans="2:75" s="17" customFormat="1" ht="15.6">
      <c r="B34" s="757" t="s">
        <v>29</v>
      </c>
      <c r="C34" s="757" t="s">
        <v>504</v>
      </c>
      <c r="D34" s="757" t="s">
        <v>96</v>
      </c>
      <c r="E34" s="757" t="s">
        <v>754</v>
      </c>
      <c r="F34" s="691"/>
      <c r="G34" s="691"/>
      <c r="H34" s="691">
        <v>2015</v>
      </c>
      <c r="I34" s="643" t="s">
        <v>576</v>
      </c>
      <c r="J34" s="643" t="s">
        <v>581</v>
      </c>
      <c r="K34" s="632"/>
      <c r="L34" s="695"/>
      <c r="M34" s="696"/>
      <c r="N34" s="696"/>
      <c r="O34" s="696"/>
      <c r="P34" s="817"/>
      <c r="Q34" s="817"/>
      <c r="R34" s="817"/>
      <c r="S34" s="817"/>
      <c r="T34" s="817"/>
      <c r="U34" s="817"/>
      <c r="V34" s="817"/>
      <c r="W34" s="817"/>
      <c r="X34" s="817"/>
      <c r="Y34" s="817"/>
      <c r="Z34" s="817"/>
      <c r="AA34" s="817"/>
      <c r="AB34" s="817"/>
      <c r="AC34" s="817"/>
      <c r="AD34" s="817"/>
      <c r="AE34" s="817"/>
      <c r="AF34" s="817"/>
      <c r="AG34" s="817"/>
      <c r="AH34" s="817"/>
      <c r="AI34" s="817"/>
      <c r="AJ34" s="817"/>
      <c r="AK34" s="817"/>
      <c r="AL34" s="817"/>
      <c r="AM34" s="817"/>
      <c r="AN34" s="817"/>
      <c r="AO34" s="817"/>
      <c r="AP34" s="632"/>
      <c r="AQ34" s="695"/>
      <c r="AR34" s="696"/>
      <c r="AS34" s="696"/>
      <c r="AT34" s="696"/>
      <c r="AU34" s="817">
        <v>954</v>
      </c>
      <c r="AV34" s="817">
        <v>942</v>
      </c>
      <c r="AW34" s="817">
        <v>942</v>
      </c>
      <c r="AX34" s="817">
        <v>942</v>
      </c>
      <c r="AY34" s="817">
        <v>942</v>
      </c>
      <c r="AZ34" s="817">
        <v>942</v>
      </c>
      <c r="BA34" s="817">
        <v>942</v>
      </c>
      <c r="BB34" s="817">
        <v>940</v>
      </c>
      <c r="BC34" s="817">
        <v>940</v>
      </c>
      <c r="BD34" s="817">
        <v>940</v>
      </c>
      <c r="BE34" s="817">
        <v>797</v>
      </c>
      <c r="BF34" s="817">
        <v>791</v>
      </c>
      <c r="BG34" s="817">
        <v>791</v>
      </c>
      <c r="BH34" s="817">
        <v>766</v>
      </c>
      <c r="BI34" s="817">
        <v>766</v>
      </c>
      <c r="BJ34" s="817">
        <v>764</v>
      </c>
      <c r="BK34" s="817">
        <v>319</v>
      </c>
      <c r="BL34" s="817">
        <v>319</v>
      </c>
      <c r="BM34" s="817">
        <v>319</v>
      </c>
      <c r="BN34" s="817">
        <v>319</v>
      </c>
      <c r="BO34" s="817">
        <v>0</v>
      </c>
      <c r="BP34" s="817">
        <v>0</v>
      </c>
      <c r="BQ34" s="817">
        <v>0</v>
      </c>
      <c r="BR34" s="817">
        <v>0</v>
      </c>
      <c r="BS34" s="817">
        <v>0</v>
      </c>
      <c r="BT34" s="817"/>
      <c r="BU34" s="16"/>
    </row>
    <row r="35" spans="2:75" s="17" customFormat="1" ht="15.6">
      <c r="B35" s="757" t="s">
        <v>29</v>
      </c>
      <c r="C35" s="757" t="s">
        <v>504</v>
      </c>
      <c r="D35" s="757" t="s">
        <v>675</v>
      </c>
      <c r="E35" s="757" t="s">
        <v>754</v>
      </c>
      <c r="F35" s="691"/>
      <c r="G35" s="691"/>
      <c r="H35" s="691">
        <v>2015</v>
      </c>
      <c r="I35" s="643" t="s">
        <v>576</v>
      </c>
      <c r="J35" s="643" t="s">
        <v>581</v>
      </c>
      <c r="K35" s="632"/>
      <c r="L35" s="695"/>
      <c r="M35" s="696"/>
      <c r="N35" s="696"/>
      <c r="O35" s="696"/>
      <c r="P35" s="817">
        <v>1</v>
      </c>
      <c r="Q35" s="817">
        <v>1</v>
      </c>
      <c r="R35" s="817">
        <v>1</v>
      </c>
      <c r="S35" s="817">
        <v>1</v>
      </c>
      <c r="T35" s="817">
        <v>1</v>
      </c>
      <c r="U35" s="817">
        <v>1</v>
      </c>
      <c r="V35" s="817">
        <v>1</v>
      </c>
      <c r="W35" s="817">
        <v>1</v>
      </c>
      <c r="X35" s="817">
        <v>1</v>
      </c>
      <c r="Y35" s="817">
        <v>1</v>
      </c>
      <c r="Z35" s="817">
        <v>1</v>
      </c>
      <c r="AA35" s="817">
        <v>1</v>
      </c>
      <c r="AB35" s="817">
        <v>1</v>
      </c>
      <c r="AC35" s="817">
        <v>1</v>
      </c>
      <c r="AD35" s="817">
        <v>1</v>
      </c>
      <c r="AE35" s="817">
        <v>1</v>
      </c>
      <c r="AF35" s="817">
        <v>1</v>
      </c>
      <c r="AG35" s="817">
        <v>1</v>
      </c>
      <c r="AH35" s="817">
        <v>1</v>
      </c>
      <c r="AI35" s="817">
        <v>0</v>
      </c>
      <c r="AJ35" s="817">
        <v>0</v>
      </c>
      <c r="AK35" s="817">
        <v>0</v>
      </c>
      <c r="AL35" s="817"/>
      <c r="AM35" s="817"/>
      <c r="AN35" s="817"/>
      <c r="AO35" s="817"/>
      <c r="AP35" s="632"/>
      <c r="AQ35" s="695"/>
      <c r="AR35" s="696"/>
      <c r="AS35" s="696"/>
      <c r="AT35" s="696"/>
      <c r="AU35" s="817">
        <v>2058</v>
      </c>
      <c r="AV35" s="817">
        <v>2058</v>
      </c>
      <c r="AW35" s="817">
        <v>2058</v>
      </c>
      <c r="AX35" s="817">
        <v>2058</v>
      </c>
      <c r="AY35" s="817">
        <v>2058</v>
      </c>
      <c r="AZ35" s="817">
        <v>2058</v>
      </c>
      <c r="BA35" s="817">
        <v>2058</v>
      </c>
      <c r="BB35" s="817">
        <v>2058</v>
      </c>
      <c r="BC35" s="817">
        <v>2058</v>
      </c>
      <c r="BD35" s="817">
        <v>2058</v>
      </c>
      <c r="BE35" s="817">
        <v>2058</v>
      </c>
      <c r="BF35" s="817">
        <v>2058</v>
      </c>
      <c r="BG35" s="817">
        <v>2058</v>
      </c>
      <c r="BH35" s="817">
        <v>2058</v>
      </c>
      <c r="BI35" s="817">
        <v>2058</v>
      </c>
      <c r="BJ35" s="817">
        <v>2058</v>
      </c>
      <c r="BK35" s="817">
        <v>2058</v>
      </c>
      <c r="BL35" s="817">
        <v>2058</v>
      </c>
      <c r="BM35" s="817">
        <v>2058</v>
      </c>
      <c r="BN35" s="817">
        <v>0</v>
      </c>
      <c r="BO35" s="817">
        <v>0</v>
      </c>
      <c r="BP35" s="817">
        <v>0</v>
      </c>
      <c r="BQ35" s="817">
        <v>0</v>
      </c>
      <c r="BR35" s="817">
        <v>0</v>
      </c>
      <c r="BS35" s="817">
        <v>0</v>
      </c>
      <c r="BT35" s="817"/>
      <c r="BU35" s="16"/>
    </row>
    <row r="36" spans="2:75" s="17" customFormat="1" ht="15.6">
      <c r="B36" s="757" t="s">
        <v>769</v>
      </c>
      <c r="C36" s="757" t="s">
        <v>504</v>
      </c>
      <c r="D36" s="757" t="s">
        <v>100</v>
      </c>
      <c r="E36" s="757" t="s">
        <v>754</v>
      </c>
      <c r="F36" s="691"/>
      <c r="G36" s="691"/>
      <c r="H36" s="691">
        <v>2015</v>
      </c>
      <c r="I36" s="643" t="s">
        <v>576</v>
      </c>
      <c r="J36" s="643" t="s">
        <v>581</v>
      </c>
      <c r="K36" s="632"/>
      <c r="L36" s="695"/>
      <c r="M36" s="696"/>
      <c r="N36" s="696"/>
      <c r="O36" s="696"/>
      <c r="P36" s="817"/>
      <c r="Q36" s="817"/>
      <c r="R36" s="817"/>
      <c r="S36" s="817"/>
      <c r="T36" s="817"/>
      <c r="U36" s="817"/>
      <c r="V36" s="817"/>
      <c r="W36" s="817"/>
      <c r="X36" s="817"/>
      <c r="Y36" s="817"/>
      <c r="Z36" s="817"/>
      <c r="AA36" s="817"/>
      <c r="AB36" s="817"/>
      <c r="AC36" s="817"/>
      <c r="AD36" s="817"/>
      <c r="AE36" s="817"/>
      <c r="AF36" s="817"/>
      <c r="AG36" s="817"/>
      <c r="AH36" s="817"/>
      <c r="AI36" s="817"/>
      <c r="AJ36" s="817"/>
      <c r="AK36" s="817"/>
      <c r="AL36" s="817"/>
      <c r="AM36" s="817"/>
      <c r="AN36" s="817"/>
      <c r="AO36" s="817"/>
      <c r="AP36" s="632"/>
      <c r="AQ36" s="695"/>
      <c r="AR36" s="696"/>
      <c r="AS36" s="696"/>
      <c r="AT36" s="696"/>
      <c r="AU36" s="817">
        <v>-1013</v>
      </c>
      <c r="AV36" s="817">
        <v>-1013</v>
      </c>
      <c r="AW36" s="817">
        <v>356</v>
      </c>
      <c r="AX36" s="817">
        <v>356</v>
      </c>
      <c r="AY36" s="817">
        <v>356</v>
      </c>
      <c r="AZ36" s="817">
        <v>356</v>
      </c>
      <c r="BA36" s="817">
        <v>356</v>
      </c>
      <c r="BB36" s="817">
        <v>356</v>
      </c>
      <c r="BC36" s="817">
        <v>356</v>
      </c>
      <c r="BD36" s="817">
        <v>356</v>
      </c>
      <c r="BE36" s="817">
        <v>356</v>
      </c>
      <c r="BF36" s="817">
        <v>356</v>
      </c>
      <c r="BG36" s="817">
        <v>0</v>
      </c>
      <c r="BH36" s="817">
        <v>0</v>
      </c>
      <c r="BI36" s="817"/>
      <c r="BJ36" s="817"/>
      <c r="BK36" s="817"/>
      <c r="BL36" s="817"/>
      <c r="BM36" s="817"/>
      <c r="BN36" s="817"/>
      <c r="BO36" s="817"/>
      <c r="BP36" s="817"/>
      <c r="BQ36" s="817"/>
      <c r="BR36" s="817"/>
      <c r="BS36" s="817"/>
      <c r="BT36" s="817"/>
      <c r="BU36" s="16"/>
    </row>
    <row r="37" spans="2:75" s="17" customFormat="1" ht="15.6">
      <c r="B37" s="757" t="s">
        <v>29</v>
      </c>
      <c r="C37" s="757" t="s">
        <v>774</v>
      </c>
      <c r="D37" s="757" t="s">
        <v>113</v>
      </c>
      <c r="E37" s="757" t="s">
        <v>754</v>
      </c>
      <c r="F37" s="691"/>
      <c r="G37" s="691"/>
      <c r="H37" s="691">
        <v>2016</v>
      </c>
      <c r="I37" s="756" t="s">
        <v>576</v>
      </c>
      <c r="J37" s="643" t="s">
        <v>588</v>
      </c>
      <c r="K37" s="632"/>
      <c r="L37" s="695"/>
      <c r="M37" s="696"/>
      <c r="N37" s="696"/>
      <c r="O37" s="696"/>
      <c r="P37" s="817"/>
      <c r="Q37" s="817">
        <v>28</v>
      </c>
      <c r="R37" s="817">
        <v>28</v>
      </c>
      <c r="S37" s="817">
        <v>28</v>
      </c>
      <c r="T37" s="817">
        <v>28</v>
      </c>
      <c r="U37" s="817">
        <v>28</v>
      </c>
      <c r="V37" s="817">
        <v>28</v>
      </c>
      <c r="W37" s="817">
        <v>28</v>
      </c>
      <c r="X37" s="817">
        <v>28</v>
      </c>
      <c r="Y37" s="817">
        <v>28</v>
      </c>
      <c r="Z37" s="817">
        <v>27</v>
      </c>
      <c r="AA37" s="817">
        <v>27</v>
      </c>
      <c r="AB37" s="817">
        <v>27</v>
      </c>
      <c r="AC37" s="817">
        <v>27</v>
      </c>
      <c r="AD37" s="817">
        <v>26</v>
      </c>
      <c r="AE37" s="817">
        <v>23</v>
      </c>
      <c r="AF37" s="817">
        <v>23</v>
      </c>
      <c r="AG37" s="817">
        <v>10</v>
      </c>
      <c r="AH37" s="817">
        <v>0</v>
      </c>
      <c r="AI37" s="817">
        <v>0</v>
      </c>
      <c r="AJ37" s="817">
        <v>0</v>
      </c>
      <c r="AK37" s="817">
        <v>0</v>
      </c>
      <c r="AL37" s="817">
        <v>0</v>
      </c>
      <c r="AM37" s="817">
        <v>0</v>
      </c>
      <c r="AN37" s="817">
        <v>0</v>
      </c>
      <c r="AO37" s="817">
        <v>0</v>
      </c>
      <c r="AP37" s="632"/>
      <c r="AQ37" s="695"/>
      <c r="AR37" s="696"/>
      <c r="AS37" s="696"/>
      <c r="AT37" s="696"/>
      <c r="AU37" s="817"/>
      <c r="AV37" s="817">
        <v>424617</v>
      </c>
      <c r="AW37" s="817">
        <v>424617</v>
      </c>
      <c r="AX37" s="817">
        <v>424617</v>
      </c>
      <c r="AY37" s="817">
        <v>424617</v>
      </c>
      <c r="AZ37" s="817">
        <v>424617</v>
      </c>
      <c r="BA37" s="817">
        <v>424617</v>
      </c>
      <c r="BB37" s="817">
        <v>424617</v>
      </c>
      <c r="BC37" s="817">
        <v>424557</v>
      </c>
      <c r="BD37" s="817">
        <v>424557</v>
      </c>
      <c r="BE37" s="817">
        <v>422639</v>
      </c>
      <c r="BF37" s="817">
        <v>417550</v>
      </c>
      <c r="BG37" s="817">
        <v>417307</v>
      </c>
      <c r="BH37" s="817">
        <v>417307</v>
      </c>
      <c r="BI37" s="817">
        <v>415061</v>
      </c>
      <c r="BJ37" s="817">
        <v>359649</v>
      </c>
      <c r="BK37" s="817">
        <v>359649</v>
      </c>
      <c r="BL37" s="817">
        <v>158250</v>
      </c>
      <c r="BM37" s="817">
        <v>0</v>
      </c>
      <c r="BN37" s="817">
        <v>0</v>
      </c>
      <c r="BO37" s="817">
        <v>0</v>
      </c>
      <c r="BP37" s="817">
        <v>0</v>
      </c>
      <c r="BQ37" s="817">
        <v>0</v>
      </c>
      <c r="BR37" s="817">
        <v>0</v>
      </c>
      <c r="BS37" s="817">
        <v>0</v>
      </c>
      <c r="BT37" s="817">
        <v>0</v>
      </c>
      <c r="BU37" s="789"/>
      <c r="BV37" s="790"/>
      <c r="BW37" s="789"/>
    </row>
    <row r="38" spans="2:75" s="17" customFormat="1" ht="15.6">
      <c r="B38" s="757" t="s">
        <v>29</v>
      </c>
      <c r="C38" s="757" t="s">
        <v>774</v>
      </c>
      <c r="D38" s="757" t="s">
        <v>771</v>
      </c>
      <c r="E38" s="757" t="s">
        <v>754</v>
      </c>
      <c r="F38" s="691"/>
      <c r="G38" s="691"/>
      <c r="H38" s="757">
        <v>2016</v>
      </c>
      <c r="I38" s="756" t="s">
        <v>576</v>
      </c>
      <c r="J38" s="643" t="s">
        <v>588</v>
      </c>
      <c r="K38" s="632"/>
      <c r="L38" s="695"/>
      <c r="M38" s="696"/>
      <c r="N38" s="696"/>
      <c r="O38" s="696"/>
      <c r="P38" s="817"/>
      <c r="Q38" s="817">
        <v>7</v>
      </c>
      <c r="R38" s="817">
        <v>7</v>
      </c>
      <c r="S38" s="817">
        <v>7</v>
      </c>
      <c r="T38" s="817">
        <v>7</v>
      </c>
      <c r="U38" s="817">
        <v>7</v>
      </c>
      <c r="V38" s="817">
        <v>7</v>
      </c>
      <c r="W38" s="817">
        <v>7</v>
      </c>
      <c r="X38" s="817">
        <v>7</v>
      </c>
      <c r="Y38" s="817">
        <v>7</v>
      </c>
      <c r="Z38" s="817">
        <v>7</v>
      </c>
      <c r="AA38" s="817">
        <v>7</v>
      </c>
      <c r="AB38" s="817">
        <v>7</v>
      </c>
      <c r="AC38" s="817">
        <v>7</v>
      </c>
      <c r="AD38" s="817">
        <v>7</v>
      </c>
      <c r="AE38" s="817">
        <v>7</v>
      </c>
      <c r="AF38" s="817">
        <v>7</v>
      </c>
      <c r="AG38" s="817">
        <v>7</v>
      </c>
      <c r="AH38" s="817">
        <v>7</v>
      </c>
      <c r="AI38" s="817">
        <v>7</v>
      </c>
      <c r="AJ38" s="817">
        <v>0</v>
      </c>
      <c r="AK38" s="817">
        <v>0</v>
      </c>
      <c r="AL38" s="817">
        <v>0</v>
      </c>
      <c r="AM38" s="817">
        <v>0</v>
      </c>
      <c r="AN38" s="817">
        <v>0</v>
      </c>
      <c r="AO38" s="817">
        <v>0</v>
      </c>
      <c r="AP38" s="632"/>
      <c r="AQ38" s="695"/>
      <c r="AR38" s="696"/>
      <c r="AS38" s="696"/>
      <c r="AT38" s="696"/>
      <c r="AU38" s="817"/>
      <c r="AV38" s="817">
        <v>25834</v>
      </c>
      <c r="AW38" s="817">
        <v>25834</v>
      </c>
      <c r="AX38" s="817">
        <v>25834</v>
      </c>
      <c r="AY38" s="817">
        <v>25834</v>
      </c>
      <c r="AZ38" s="817">
        <v>25834</v>
      </c>
      <c r="BA38" s="817">
        <v>25834</v>
      </c>
      <c r="BB38" s="817">
        <v>25834</v>
      </c>
      <c r="BC38" s="817">
        <v>25834</v>
      </c>
      <c r="BD38" s="817">
        <v>25834</v>
      </c>
      <c r="BE38" s="817">
        <v>25834</v>
      </c>
      <c r="BF38" s="817">
        <v>25834</v>
      </c>
      <c r="BG38" s="817">
        <v>25834</v>
      </c>
      <c r="BH38" s="817">
        <v>25834</v>
      </c>
      <c r="BI38" s="817">
        <v>25834</v>
      </c>
      <c r="BJ38" s="817">
        <v>25834</v>
      </c>
      <c r="BK38" s="817">
        <v>25834</v>
      </c>
      <c r="BL38" s="817">
        <v>25834</v>
      </c>
      <c r="BM38" s="817">
        <v>25834</v>
      </c>
      <c r="BN38" s="817">
        <v>25834</v>
      </c>
      <c r="BO38" s="817">
        <v>0</v>
      </c>
      <c r="BP38" s="817">
        <v>0</v>
      </c>
      <c r="BQ38" s="817">
        <v>0</v>
      </c>
      <c r="BR38" s="817">
        <v>0</v>
      </c>
      <c r="BS38" s="817">
        <v>0</v>
      </c>
      <c r="BT38" s="817">
        <v>0</v>
      </c>
      <c r="BU38" s="791"/>
      <c r="BV38" s="792"/>
      <c r="BW38" s="791"/>
    </row>
    <row r="39" spans="2:75" s="17" customFormat="1" ht="15.6">
      <c r="B39" s="757" t="s">
        <v>29</v>
      </c>
      <c r="C39" s="757" t="s">
        <v>774</v>
      </c>
      <c r="D39" s="757" t="s">
        <v>116</v>
      </c>
      <c r="E39" s="757" t="s">
        <v>754</v>
      </c>
      <c r="F39" s="691"/>
      <c r="G39" s="691"/>
      <c r="H39" s="757">
        <v>2016</v>
      </c>
      <c r="I39" s="756" t="s">
        <v>576</v>
      </c>
      <c r="J39" s="643" t="s">
        <v>588</v>
      </c>
      <c r="K39" s="632"/>
      <c r="L39" s="695"/>
      <c r="M39" s="696"/>
      <c r="N39" s="696"/>
      <c r="O39" s="696"/>
      <c r="P39" s="817"/>
      <c r="Q39" s="817">
        <v>1</v>
      </c>
      <c r="R39" s="817">
        <v>1</v>
      </c>
      <c r="S39" s="817">
        <v>1</v>
      </c>
      <c r="T39" s="817">
        <v>1</v>
      </c>
      <c r="U39" s="817">
        <v>1</v>
      </c>
      <c r="V39" s="817">
        <v>1</v>
      </c>
      <c r="W39" s="817">
        <v>1</v>
      </c>
      <c r="X39" s="817">
        <v>1</v>
      </c>
      <c r="Y39" s="817">
        <v>1</v>
      </c>
      <c r="Z39" s="817">
        <v>1</v>
      </c>
      <c r="AA39" s="817">
        <v>1</v>
      </c>
      <c r="AB39" s="817">
        <v>1</v>
      </c>
      <c r="AC39" s="817">
        <v>1</v>
      </c>
      <c r="AD39" s="817">
        <v>1</v>
      </c>
      <c r="AE39" s="817">
        <v>1</v>
      </c>
      <c r="AF39" s="817">
        <v>1</v>
      </c>
      <c r="AG39" s="817">
        <v>1</v>
      </c>
      <c r="AH39" s="817">
        <v>1</v>
      </c>
      <c r="AI39" s="817">
        <v>1</v>
      </c>
      <c r="AJ39" s="817">
        <v>1</v>
      </c>
      <c r="AK39" s="817">
        <v>0</v>
      </c>
      <c r="AL39" s="817">
        <v>0</v>
      </c>
      <c r="AM39" s="817">
        <v>0</v>
      </c>
      <c r="AN39" s="817">
        <v>0</v>
      </c>
      <c r="AO39" s="817">
        <v>0</v>
      </c>
      <c r="AP39" s="632"/>
      <c r="AQ39" s="695"/>
      <c r="AR39" s="696"/>
      <c r="AS39" s="696"/>
      <c r="AT39" s="696"/>
      <c r="AU39" s="817"/>
      <c r="AV39" s="817">
        <v>12669</v>
      </c>
      <c r="AW39" s="817">
        <v>12669</v>
      </c>
      <c r="AX39" s="817">
        <v>12669</v>
      </c>
      <c r="AY39" s="817">
        <v>12669</v>
      </c>
      <c r="AZ39" s="817">
        <v>12669</v>
      </c>
      <c r="BA39" s="817">
        <v>12669</v>
      </c>
      <c r="BB39" s="817">
        <v>12669</v>
      </c>
      <c r="BC39" s="817">
        <v>12669</v>
      </c>
      <c r="BD39" s="817">
        <v>12669</v>
      </c>
      <c r="BE39" s="817">
        <v>12669</v>
      </c>
      <c r="BF39" s="817">
        <v>7729</v>
      </c>
      <c r="BG39" s="817">
        <v>7729</v>
      </c>
      <c r="BH39" s="817">
        <v>7729</v>
      </c>
      <c r="BI39" s="817">
        <v>7729</v>
      </c>
      <c r="BJ39" s="817">
        <v>7729</v>
      </c>
      <c r="BK39" s="817">
        <v>7415</v>
      </c>
      <c r="BL39" s="817">
        <v>7415</v>
      </c>
      <c r="BM39" s="817">
        <v>7415</v>
      </c>
      <c r="BN39" s="817">
        <v>7415</v>
      </c>
      <c r="BO39" s="817">
        <v>7415</v>
      </c>
      <c r="BP39" s="817">
        <v>0</v>
      </c>
      <c r="BQ39" s="817">
        <v>0</v>
      </c>
      <c r="BR39" s="817">
        <v>0</v>
      </c>
      <c r="BS39" s="817">
        <v>0</v>
      </c>
      <c r="BT39" s="817">
        <v>0</v>
      </c>
      <c r="BU39" s="787"/>
      <c r="BV39" s="788"/>
      <c r="BW39" s="787"/>
    </row>
    <row r="40" spans="2:75" s="17" customFormat="1" ht="15.6">
      <c r="B40" s="757" t="s">
        <v>769</v>
      </c>
      <c r="C40" s="757" t="s">
        <v>775</v>
      </c>
      <c r="D40" s="757" t="s">
        <v>118</v>
      </c>
      <c r="E40" s="757" t="s">
        <v>754</v>
      </c>
      <c r="F40" s="691"/>
      <c r="G40" s="691"/>
      <c r="H40" s="757">
        <v>2016</v>
      </c>
      <c r="I40" s="756" t="s">
        <v>576</v>
      </c>
      <c r="J40" s="643" t="s">
        <v>588</v>
      </c>
      <c r="K40" s="632"/>
      <c r="L40" s="695"/>
      <c r="M40" s="696"/>
      <c r="N40" s="696"/>
      <c r="O40" s="696"/>
      <c r="P40" s="817"/>
      <c r="Q40" s="817">
        <v>1</v>
      </c>
      <c r="R40" s="817">
        <v>1</v>
      </c>
      <c r="S40" s="817">
        <v>1</v>
      </c>
      <c r="T40" s="817">
        <v>1</v>
      </c>
      <c r="U40" s="817">
        <v>1</v>
      </c>
      <c r="V40" s="817">
        <v>1</v>
      </c>
      <c r="W40" s="817">
        <v>1</v>
      </c>
      <c r="X40" s="817">
        <v>1</v>
      </c>
      <c r="Y40" s="817">
        <v>1</v>
      </c>
      <c r="Z40" s="817">
        <v>1</v>
      </c>
      <c r="AA40" s="817">
        <v>0</v>
      </c>
      <c r="AB40" s="817">
        <v>0</v>
      </c>
      <c r="AC40" s="817">
        <v>0</v>
      </c>
      <c r="AD40" s="817">
        <v>0</v>
      </c>
      <c r="AE40" s="817">
        <v>0</v>
      </c>
      <c r="AF40" s="817">
        <v>0</v>
      </c>
      <c r="AG40" s="817">
        <v>0</v>
      </c>
      <c r="AH40" s="817">
        <v>0</v>
      </c>
      <c r="AI40" s="817">
        <v>0</v>
      </c>
      <c r="AJ40" s="817">
        <v>0</v>
      </c>
      <c r="AK40" s="817">
        <v>0</v>
      </c>
      <c r="AL40" s="817">
        <v>0</v>
      </c>
      <c r="AM40" s="817">
        <v>0</v>
      </c>
      <c r="AN40" s="817">
        <v>0</v>
      </c>
      <c r="AO40" s="817">
        <v>0</v>
      </c>
      <c r="AP40" s="632"/>
      <c r="AQ40" s="695"/>
      <c r="AR40" s="696"/>
      <c r="AS40" s="696"/>
      <c r="AT40" s="696"/>
      <c r="AU40" s="817"/>
      <c r="AV40" s="817">
        <v>46866</v>
      </c>
      <c r="AW40" s="817">
        <v>46866</v>
      </c>
      <c r="AX40" s="817">
        <v>46866</v>
      </c>
      <c r="AY40" s="817">
        <v>46866</v>
      </c>
      <c r="AZ40" s="817">
        <v>46866</v>
      </c>
      <c r="BA40" s="817">
        <v>46866</v>
      </c>
      <c r="BB40" s="817">
        <v>46866</v>
      </c>
      <c r="BC40" s="817">
        <v>46866</v>
      </c>
      <c r="BD40" s="817">
        <v>46866</v>
      </c>
      <c r="BE40" s="817">
        <v>46866</v>
      </c>
      <c r="BF40" s="817">
        <v>35993</v>
      </c>
      <c r="BG40" s="817">
        <v>35993</v>
      </c>
      <c r="BH40" s="817">
        <v>5841</v>
      </c>
      <c r="BI40" s="817">
        <v>5841</v>
      </c>
      <c r="BJ40" s="817">
        <v>403</v>
      </c>
      <c r="BK40" s="817">
        <v>0</v>
      </c>
      <c r="BL40" s="817">
        <v>0</v>
      </c>
      <c r="BM40" s="817">
        <v>0</v>
      </c>
      <c r="BN40" s="817">
        <v>0</v>
      </c>
      <c r="BO40" s="817">
        <v>0</v>
      </c>
      <c r="BP40" s="817">
        <v>0</v>
      </c>
      <c r="BQ40" s="817">
        <v>0</v>
      </c>
      <c r="BR40" s="817">
        <v>0</v>
      </c>
      <c r="BS40" s="817">
        <v>0</v>
      </c>
      <c r="BT40" s="817">
        <v>0</v>
      </c>
      <c r="BU40" s="791"/>
      <c r="BV40" s="792"/>
      <c r="BW40" s="791"/>
    </row>
    <row r="41" spans="2:75" s="17" customFormat="1" ht="15.6">
      <c r="B41" s="757" t="s">
        <v>769</v>
      </c>
      <c r="C41" s="757" t="s">
        <v>775</v>
      </c>
      <c r="D41" s="757" t="s">
        <v>119</v>
      </c>
      <c r="E41" s="757" t="s">
        <v>754</v>
      </c>
      <c r="F41" s="691"/>
      <c r="G41" s="691"/>
      <c r="H41" s="757">
        <v>2016</v>
      </c>
      <c r="I41" s="756" t="s">
        <v>576</v>
      </c>
      <c r="J41" s="643" t="s">
        <v>588</v>
      </c>
      <c r="K41" s="632"/>
      <c r="L41" s="695"/>
      <c r="M41" s="696"/>
      <c r="N41" s="696"/>
      <c r="O41" s="696"/>
      <c r="P41" s="817"/>
      <c r="Q41" s="817">
        <v>11</v>
      </c>
      <c r="R41" s="817">
        <v>11</v>
      </c>
      <c r="S41" s="817">
        <v>11</v>
      </c>
      <c r="T41" s="817">
        <v>10</v>
      </c>
      <c r="U41" s="817">
        <v>10</v>
      </c>
      <c r="V41" s="817">
        <v>10</v>
      </c>
      <c r="W41" s="817">
        <v>9</v>
      </c>
      <c r="X41" s="817">
        <v>9</v>
      </c>
      <c r="Y41" s="817">
        <v>9</v>
      </c>
      <c r="Z41" s="817">
        <v>7</v>
      </c>
      <c r="AA41" s="817">
        <v>7</v>
      </c>
      <c r="AB41" s="817">
        <v>6</v>
      </c>
      <c r="AC41" s="817">
        <v>2</v>
      </c>
      <c r="AD41" s="817">
        <v>2</v>
      </c>
      <c r="AE41" s="817">
        <v>2</v>
      </c>
      <c r="AF41" s="817">
        <v>2</v>
      </c>
      <c r="AG41" s="817">
        <v>2</v>
      </c>
      <c r="AH41" s="817">
        <v>2</v>
      </c>
      <c r="AI41" s="817">
        <v>2</v>
      </c>
      <c r="AJ41" s="817">
        <v>2</v>
      </c>
      <c r="AK41" s="817">
        <v>2</v>
      </c>
      <c r="AL41" s="817">
        <v>2</v>
      </c>
      <c r="AM41" s="817">
        <v>1</v>
      </c>
      <c r="AN41" s="817">
        <v>0</v>
      </c>
      <c r="AO41" s="817">
        <v>0</v>
      </c>
      <c r="AP41" s="632"/>
      <c r="AQ41" s="695"/>
      <c r="AR41" s="696"/>
      <c r="AS41" s="696"/>
      <c r="AT41" s="696"/>
      <c r="AU41" s="817"/>
      <c r="AV41" s="817">
        <v>51275</v>
      </c>
      <c r="AW41" s="817">
        <v>51275</v>
      </c>
      <c r="AX41" s="817">
        <v>51275</v>
      </c>
      <c r="AY41" s="817">
        <v>46678</v>
      </c>
      <c r="AZ41" s="817">
        <v>43950</v>
      </c>
      <c r="BA41" s="817">
        <v>43950</v>
      </c>
      <c r="BB41" s="817">
        <v>32597</v>
      </c>
      <c r="BC41" s="817">
        <v>29328</v>
      </c>
      <c r="BD41" s="817">
        <v>29328</v>
      </c>
      <c r="BE41" s="817">
        <v>22220</v>
      </c>
      <c r="BF41" s="817">
        <v>22220</v>
      </c>
      <c r="BG41" s="817">
        <v>19684</v>
      </c>
      <c r="BH41" s="817">
        <v>6133</v>
      </c>
      <c r="BI41" s="817">
        <v>6133</v>
      </c>
      <c r="BJ41" s="817">
        <v>6133</v>
      </c>
      <c r="BK41" s="817">
        <v>6133</v>
      </c>
      <c r="BL41" s="817">
        <v>6133</v>
      </c>
      <c r="BM41" s="817">
        <v>6133</v>
      </c>
      <c r="BN41" s="817">
        <v>6133</v>
      </c>
      <c r="BO41" s="817">
        <v>6133</v>
      </c>
      <c r="BP41" s="817">
        <v>6133</v>
      </c>
      <c r="BQ41" s="817">
        <v>6133</v>
      </c>
      <c r="BR41" s="817">
        <v>1910</v>
      </c>
      <c r="BS41" s="817">
        <v>0</v>
      </c>
      <c r="BT41" s="817">
        <v>0</v>
      </c>
      <c r="BU41" s="793"/>
      <c r="BV41" s="794"/>
      <c r="BW41" s="793"/>
    </row>
    <row r="42" spans="2:75" s="17" customFormat="1" ht="15.6">
      <c r="B42" s="757" t="s">
        <v>29</v>
      </c>
      <c r="C42" s="757" t="s">
        <v>774</v>
      </c>
      <c r="D42" s="757" t="s">
        <v>113</v>
      </c>
      <c r="E42" s="757" t="s">
        <v>754</v>
      </c>
      <c r="F42" s="691"/>
      <c r="G42" s="691"/>
      <c r="H42" s="691">
        <v>2016</v>
      </c>
      <c r="I42" s="756" t="s">
        <v>576</v>
      </c>
      <c r="J42" s="643" t="s">
        <v>581</v>
      </c>
      <c r="K42" s="632"/>
      <c r="L42" s="695"/>
      <c r="M42" s="696"/>
      <c r="N42" s="696"/>
      <c r="O42" s="696"/>
      <c r="P42" s="817"/>
      <c r="Q42" s="817">
        <v>0</v>
      </c>
      <c r="R42" s="817">
        <v>3</v>
      </c>
      <c r="S42" s="817">
        <v>3</v>
      </c>
      <c r="T42" s="817">
        <v>3</v>
      </c>
      <c r="U42" s="817">
        <v>3</v>
      </c>
      <c r="V42" s="817">
        <v>3</v>
      </c>
      <c r="W42" s="817">
        <v>3</v>
      </c>
      <c r="X42" s="817">
        <v>3</v>
      </c>
      <c r="Y42" s="817">
        <v>3</v>
      </c>
      <c r="Z42" s="817">
        <v>3</v>
      </c>
      <c r="AA42" s="817">
        <v>3</v>
      </c>
      <c r="AB42" s="817">
        <v>3</v>
      </c>
      <c r="AC42" s="817">
        <v>3</v>
      </c>
      <c r="AD42" s="817">
        <v>3</v>
      </c>
      <c r="AE42" s="817">
        <v>3</v>
      </c>
      <c r="AF42" s="817">
        <v>3</v>
      </c>
      <c r="AG42" s="817">
        <v>3</v>
      </c>
      <c r="AH42" s="817">
        <v>1</v>
      </c>
      <c r="AI42" s="817">
        <v>0</v>
      </c>
      <c r="AJ42" s="817">
        <v>0</v>
      </c>
      <c r="AK42" s="817">
        <v>0</v>
      </c>
      <c r="AL42" s="817">
        <v>2</v>
      </c>
      <c r="AM42" s="817">
        <v>1</v>
      </c>
      <c r="AN42" s="817">
        <v>0</v>
      </c>
      <c r="AO42" s="817">
        <v>0</v>
      </c>
      <c r="AP42" s="632"/>
      <c r="AQ42" s="695"/>
      <c r="AR42" s="696"/>
      <c r="AS42" s="696"/>
      <c r="AT42" s="696"/>
      <c r="AU42" s="817"/>
      <c r="AV42" s="817">
        <v>47321</v>
      </c>
      <c r="AW42" s="817">
        <v>47391</v>
      </c>
      <c r="AX42" s="817">
        <v>47424</v>
      </c>
      <c r="AY42" s="817">
        <v>47472</v>
      </c>
      <c r="AZ42" s="817">
        <v>47472</v>
      </c>
      <c r="BA42" s="817">
        <v>47345</v>
      </c>
      <c r="BB42" s="817">
        <v>41004</v>
      </c>
      <c r="BC42" s="817">
        <v>41004</v>
      </c>
      <c r="BD42" s="817">
        <v>16899</v>
      </c>
      <c r="BE42" s="817">
        <v>0</v>
      </c>
      <c r="BF42" s="817">
        <v>0</v>
      </c>
      <c r="BG42" s="817"/>
      <c r="BH42" s="817"/>
      <c r="BI42" s="817"/>
      <c r="BJ42" s="817"/>
      <c r="BK42" s="817"/>
      <c r="BL42" s="817"/>
      <c r="BM42" s="817"/>
      <c r="BN42" s="817"/>
      <c r="BO42" s="817"/>
      <c r="BP42" s="817"/>
      <c r="BQ42" s="817"/>
      <c r="BR42" s="817"/>
      <c r="BS42" s="817"/>
      <c r="BT42" s="817"/>
      <c r="BU42" s="16"/>
    </row>
    <row r="43" spans="2:75" s="17" customFormat="1" ht="15.6">
      <c r="B43" s="757" t="s">
        <v>769</v>
      </c>
      <c r="C43" s="757" t="s">
        <v>775</v>
      </c>
      <c r="D43" s="757" t="s">
        <v>119</v>
      </c>
      <c r="E43" s="757" t="s">
        <v>754</v>
      </c>
      <c r="F43" s="691"/>
      <c r="G43" s="691"/>
      <c r="H43" s="691">
        <v>2016</v>
      </c>
      <c r="I43" s="756" t="s">
        <v>576</v>
      </c>
      <c r="J43" s="643" t="s">
        <v>581</v>
      </c>
      <c r="K43" s="632"/>
      <c r="L43" s="695"/>
      <c r="M43" s="696"/>
      <c r="N43" s="696"/>
      <c r="O43" s="696"/>
      <c r="P43" s="817"/>
      <c r="Q43" s="817">
        <v>0</v>
      </c>
      <c r="R43" s="817">
        <v>3</v>
      </c>
      <c r="S43" s="817">
        <v>3</v>
      </c>
      <c r="T43" s="817">
        <v>3</v>
      </c>
      <c r="U43" s="817">
        <v>3</v>
      </c>
      <c r="V43" s="817">
        <v>3</v>
      </c>
      <c r="W43" s="817">
        <v>3</v>
      </c>
      <c r="X43" s="817">
        <v>3</v>
      </c>
      <c r="Y43" s="817">
        <v>3</v>
      </c>
      <c r="Z43" s="817">
        <v>3</v>
      </c>
      <c r="AA43" s="817">
        <v>3</v>
      </c>
      <c r="AB43" s="817">
        <v>3</v>
      </c>
      <c r="AC43" s="817">
        <v>2</v>
      </c>
      <c r="AD43" s="817">
        <v>0</v>
      </c>
      <c r="AE43" s="817">
        <v>0</v>
      </c>
      <c r="AF43" s="817">
        <v>0</v>
      </c>
      <c r="AG43" s="817">
        <v>0</v>
      </c>
      <c r="AH43" s="817">
        <v>0</v>
      </c>
      <c r="AI43" s="817">
        <v>0</v>
      </c>
      <c r="AJ43" s="817">
        <v>0</v>
      </c>
      <c r="AK43" s="817">
        <v>0</v>
      </c>
      <c r="AL43" s="817">
        <v>0</v>
      </c>
      <c r="AM43" s="817"/>
      <c r="AN43" s="817"/>
      <c r="AO43" s="817"/>
      <c r="AP43" s="632"/>
      <c r="AQ43" s="695"/>
      <c r="AR43" s="696"/>
      <c r="AS43" s="696"/>
      <c r="AT43" s="696"/>
      <c r="AU43" s="817"/>
      <c r="AV43" s="817">
        <v>8085</v>
      </c>
      <c r="AW43" s="817">
        <v>7852</v>
      </c>
      <c r="AX43" s="817">
        <v>7852</v>
      </c>
      <c r="AY43" s="817">
        <v>6615</v>
      </c>
      <c r="AZ43" s="817">
        <v>6</v>
      </c>
      <c r="BA43" s="817">
        <v>6</v>
      </c>
      <c r="BB43" s="817">
        <v>6</v>
      </c>
      <c r="BC43" s="817">
        <v>6</v>
      </c>
      <c r="BD43" s="817">
        <v>6</v>
      </c>
      <c r="BE43" s="817">
        <v>6</v>
      </c>
      <c r="BF43" s="817">
        <v>6</v>
      </c>
      <c r="BG43" s="817">
        <v>6</v>
      </c>
      <c r="BH43" s="817">
        <v>6</v>
      </c>
      <c r="BI43" s="817">
        <v>6</v>
      </c>
      <c r="BJ43" s="817">
        <v>2</v>
      </c>
      <c r="BK43" s="817"/>
      <c r="BL43" s="817"/>
      <c r="BM43" s="817"/>
      <c r="BN43" s="817"/>
      <c r="BO43" s="817"/>
      <c r="BP43" s="817"/>
      <c r="BQ43" s="817"/>
      <c r="BR43" s="817"/>
      <c r="BS43" s="817"/>
      <c r="BT43" s="817"/>
      <c r="BU43" s="16"/>
    </row>
    <row r="44" spans="2:75" s="17" customFormat="1" ht="15.6">
      <c r="B44" s="691" t="s">
        <v>29</v>
      </c>
      <c r="C44" s="757" t="s">
        <v>774</v>
      </c>
      <c r="D44" s="757" t="s">
        <v>113</v>
      </c>
      <c r="E44" s="757" t="s">
        <v>754</v>
      </c>
      <c r="F44" s="691"/>
      <c r="G44" s="691"/>
      <c r="H44" s="691">
        <v>2017</v>
      </c>
      <c r="I44" s="756" t="s">
        <v>576</v>
      </c>
      <c r="J44" s="756" t="s">
        <v>588</v>
      </c>
      <c r="K44" s="632"/>
      <c r="L44" s="695"/>
      <c r="M44" s="696"/>
      <c r="N44" s="696"/>
      <c r="O44" s="696"/>
      <c r="P44" s="817"/>
      <c r="Q44" s="817"/>
      <c r="R44" s="817">
        <v>29</v>
      </c>
      <c r="S44" s="817">
        <v>24</v>
      </c>
      <c r="T44" s="817">
        <v>24</v>
      </c>
      <c r="U44" s="817">
        <v>24</v>
      </c>
      <c r="V44" s="817">
        <v>24</v>
      </c>
      <c r="W44" s="817">
        <v>24</v>
      </c>
      <c r="X44" s="817">
        <v>24</v>
      </c>
      <c r="Y44" s="817">
        <v>24</v>
      </c>
      <c r="Z44" s="817">
        <v>24</v>
      </c>
      <c r="AA44" s="817">
        <v>24</v>
      </c>
      <c r="AB44" s="817">
        <v>22</v>
      </c>
      <c r="AC44" s="817">
        <v>22</v>
      </c>
      <c r="AD44" s="817">
        <v>22</v>
      </c>
      <c r="AE44" s="817">
        <v>22</v>
      </c>
      <c r="AF44" s="817">
        <v>19</v>
      </c>
      <c r="AG44" s="817">
        <v>19</v>
      </c>
      <c r="AH44" s="817">
        <v>2</v>
      </c>
      <c r="AI44" s="817">
        <v>0</v>
      </c>
      <c r="AJ44" s="817">
        <v>0</v>
      </c>
      <c r="AK44" s="817">
        <v>0</v>
      </c>
      <c r="AL44" s="817">
        <v>0</v>
      </c>
      <c r="AM44" s="817"/>
      <c r="AN44" s="817"/>
      <c r="AO44" s="817"/>
      <c r="AP44" s="632"/>
      <c r="AQ44" s="695"/>
      <c r="AR44" s="696"/>
      <c r="AS44" s="696"/>
      <c r="AT44" s="696"/>
      <c r="AU44" s="696"/>
      <c r="AV44" s="696"/>
      <c r="AW44" s="817">
        <v>341701</v>
      </c>
      <c r="AX44" s="817">
        <v>341701</v>
      </c>
      <c r="AY44" s="817">
        <v>340856</v>
      </c>
      <c r="AZ44" s="817">
        <v>333702</v>
      </c>
      <c r="BA44" s="817">
        <v>333649</v>
      </c>
      <c r="BB44" s="817">
        <v>333649</v>
      </c>
      <c r="BC44" s="817">
        <v>333622</v>
      </c>
      <c r="BD44" s="817">
        <v>283359</v>
      </c>
      <c r="BE44" s="817">
        <v>283359</v>
      </c>
      <c r="BF44" s="817">
        <v>33371</v>
      </c>
      <c r="BG44" s="817">
        <v>0</v>
      </c>
      <c r="BH44" s="817">
        <v>0</v>
      </c>
      <c r="BI44" s="817">
        <v>0</v>
      </c>
      <c r="BJ44" s="817">
        <v>0</v>
      </c>
      <c r="BK44" s="817">
        <v>0</v>
      </c>
      <c r="BL44" s="817">
        <v>0</v>
      </c>
      <c r="BM44" s="817">
        <v>0</v>
      </c>
      <c r="BN44" s="817">
        <v>0</v>
      </c>
      <c r="BO44" s="817">
        <v>0</v>
      </c>
      <c r="BP44" s="817">
        <v>0</v>
      </c>
      <c r="BQ44" s="817"/>
      <c r="BR44" s="817"/>
      <c r="BS44" s="817"/>
      <c r="BT44" s="817"/>
      <c r="BU44" s="16"/>
    </row>
    <row r="45" spans="2:75" s="17" customFormat="1" ht="15.6">
      <c r="B45" s="691" t="s">
        <v>29</v>
      </c>
      <c r="C45" s="757" t="s">
        <v>774</v>
      </c>
      <c r="D45" s="757" t="s">
        <v>772</v>
      </c>
      <c r="E45" s="757" t="s">
        <v>754</v>
      </c>
      <c r="F45" s="691"/>
      <c r="G45" s="691"/>
      <c r="H45" s="757">
        <v>2017</v>
      </c>
      <c r="I45" s="756" t="s">
        <v>576</v>
      </c>
      <c r="J45" s="756" t="s">
        <v>588</v>
      </c>
      <c r="K45" s="632"/>
      <c r="L45" s="695"/>
      <c r="M45" s="696"/>
      <c r="N45" s="696"/>
      <c r="O45" s="696"/>
      <c r="P45" s="817"/>
      <c r="Q45" s="817"/>
      <c r="R45" s="817">
        <v>27</v>
      </c>
      <c r="S45" s="817">
        <v>20</v>
      </c>
      <c r="T45" s="817">
        <v>20</v>
      </c>
      <c r="U45" s="817">
        <v>20</v>
      </c>
      <c r="V45" s="817">
        <v>20</v>
      </c>
      <c r="W45" s="817">
        <v>20</v>
      </c>
      <c r="X45" s="817">
        <v>20</v>
      </c>
      <c r="Y45" s="817">
        <v>20</v>
      </c>
      <c r="Z45" s="817">
        <v>20</v>
      </c>
      <c r="AA45" s="817">
        <v>20</v>
      </c>
      <c r="AB45" s="817">
        <v>19</v>
      </c>
      <c r="AC45" s="817">
        <v>19</v>
      </c>
      <c r="AD45" s="817">
        <v>19</v>
      </c>
      <c r="AE45" s="817">
        <v>16</v>
      </c>
      <c r="AF45" s="817">
        <v>16</v>
      </c>
      <c r="AG45" s="817">
        <v>12</v>
      </c>
      <c r="AH45" s="817">
        <v>10</v>
      </c>
      <c r="AI45" s="817">
        <v>0</v>
      </c>
      <c r="AJ45" s="817">
        <v>0</v>
      </c>
      <c r="AK45" s="817">
        <v>0</v>
      </c>
      <c r="AL45" s="817">
        <v>0</v>
      </c>
      <c r="AM45" s="817"/>
      <c r="AN45" s="817"/>
      <c r="AO45" s="817"/>
      <c r="AP45" s="632"/>
      <c r="AQ45" s="695"/>
      <c r="AR45" s="696"/>
      <c r="AS45" s="696"/>
      <c r="AT45" s="696"/>
      <c r="AU45" s="696"/>
      <c r="AV45" s="696"/>
      <c r="AW45" s="817">
        <v>288593</v>
      </c>
      <c r="AX45" s="817">
        <v>288593</v>
      </c>
      <c r="AY45" s="817">
        <v>288593</v>
      </c>
      <c r="AZ45" s="817">
        <v>283339</v>
      </c>
      <c r="BA45" s="817">
        <v>282845</v>
      </c>
      <c r="BB45" s="817">
        <v>282845</v>
      </c>
      <c r="BC45" s="817">
        <v>238825</v>
      </c>
      <c r="BD45" s="817">
        <v>238825</v>
      </c>
      <c r="BE45" s="817">
        <v>184980</v>
      </c>
      <c r="BF45" s="817">
        <v>146610</v>
      </c>
      <c r="BG45" s="817">
        <v>0</v>
      </c>
      <c r="BH45" s="817">
        <v>0</v>
      </c>
      <c r="BI45" s="817">
        <v>0</v>
      </c>
      <c r="BJ45" s="817">
        <v>0</v>
      </c>
      <c r="BK45" s="817">
        <v>0</v>
      </c>
      <c r="BL45" s="817">
        <v>0</v>
      </c>
      <c r="BM45" s="817">
        <v>0</v>
      </c>
      <c r="BN45" s="817">
        <v>0</v>
      </c>
      <c r="BO45" s="817">
        <v>0</v>
      </c>
      <c r="BP45" s="817">
        <v>0</v>
      </c>
      <c r="BQ45" s="817"/>
      <c r="BR45" s="817"/>
      <c r="BS45" s="817"/>
      <c r="BT45" s="817"/>
      <c r="BU45" s="16"/>
    </row>
    <row r="46" spans="2:75" s="17" customFormat="1" ht="15.6">
      <c r="B46" s="691" t="s">
        <v>29</v>
      </c>
      <c r="C46" s="757" t="s">
        <v>774</v>
      </c>
      <c r="D46" s="757" t="s">
        <v>771</v>
      </c>
      <c r="E46" s="757" t="s">
        <v>754</v>
      </c>
      <c r="F46" s="691"/>
      <c r="G46" s="691"/>
      <c r="H46" s="757">
        <v>2017</v>
      </c>
      <c r="I46" s="756" t="s">
        <v>576</v>
      </c>
      <c r="J46" s="756" t="s">
        <v>588</v>
      </c>
      <c r="K46" s="632"/>
      <c r="L46" s="695"/>
      <c r="M46" s="696"/>
      <c r="N46" s="696"/>
      <c r="O46" s="696"/>
      <c r="P46" s="817"/>
      <c r="Q46" s="817"/>
      <c r="R46" s="817">
        <v>10</v>
      </c>
      <c r="S46" s="817">
        <v>10</v>
      </c>
      <c r="T46" s="817">
        <v>10</v>
      </c>
      <c r="U46" s="817">
        <v>10</v>
      </c>
      <c r="V46" s="817">
        <v>10</v>
      </c>
      <c r="W46" s="817">
        <v>10</v>
      </c>
      <c r="X46" s="817">
        <v>10</v>
      </c>
      <c r="Y46" s="817">
        <v>10</v>
      </c>
      <c r="Z46" s="817">
        <v>10</v>
      </c>
      <c r="AA46" s="817">
        <v>10</v>
      </c>
      <c r="AB46" s="817">
        <v>10</v>
      </c>
      <c r="AC46" s="817">
        <v>10</v>
      </c>
      <c r="AD46" s="817">
        <v>10</v>
      </c>
      <c r="AE46" s="817">
        <v>10</v>
      </c>
      <c r="AF46" s="817">
        <v>10</v>
      </c>
      <c r="AG46" s="817">
        <v>10</v>
      </c>
      <c r="AH46" s="817">
        <v>10</v>
      </c>
      <c r="AI46" s="817">
        <v>10</v>
      </c>
      <c r="AJ46" s="817">
        <v>10</v>
      </c>
      <c r="AK46" s="817">
        <v>0</v>
      </c>
      <c r="AL46" s="817">
        <v>0</v>
      </c>
      <c r="AM46" s="817"/>
      <c r="AN46" s="696"/>
      <c r="AO46" s="697"/>
      <c r="AP46" s="632"/>
      <c r="AQ46" s="695"/>
      <c r="AR46" s="696"/>
      <c r="AS46" s="696"/>
      <c r="AT46" s="696"/>
      <c r="AU46" s="696"/>
      <c r="AV46" s="696"/>
      <c r="AW46" s="817">
        <v>35919</v>
      </c>
      <c r="AX46" s="817">
        <v>35919</v>
      </c>
      <c r="AY46" s="817">
        <v>35919</v>
      </c>
      <c r="AZ46" s="817">
        <v>35919</v>
      </c>
      <c r="BA46" s="817">
        <v>35919</v>
      </c>
      <c r="BB46" s="817">
        <v>35919</v>
      </c>
      <c r="BC46" s="817">
        <v>35919</v>
      </c>
      <c r="BD46" s="817">
        <v>35919</v>
      </c>
      <c r="BE46" s="817">
        <v>35919</v>
      </c>
      <c r="BF46" s="817">
        <v>35919</v>
      </c>
      <c r="BG46" s="817">
        <v>35919</v>
      </c>
      <c r="BH46" s="817">
        <v>35919</v>
      </c>
      <c r="BI46" s="817">
        <v>0</v>
      </c>
      <c r="BJ46" s="817">
        <v>0</v>
      </c>
      <c r="BK46" s="817">
        <v>0</v>
      </c>
      <c r="BL46" s="817">
        <v>0</v>
      </c>
      <c r="BM46" s="817">
        <v>0</v>
      </c>
      <c r="BN46" s="817">
        <v>0</v>
      </c>
      <c r="BO46" s="817">
        <v>0</v>
      </c>
      <c r="BP46" s="817">
        <v>0</v>
      </c>
      <c r="BQ46" s="817"/>
      <c r="BR46" s="817"/>
      <c r="BS46" s="817"/>
      <c r="BT46" s="817"/>
      <c r="BU46" s="16"/>
    </row>
    <row r="47" spans="2:75" s="17" customFormat="1" ht="15.6">
      <c r="B47" s="691" t="s">
        <v>29</v>
      </c>
      <c r="C47" s="757" t="s">
        <v>774</v>
      </c>
      <c r="D47" s="757" t="s">
        <v>116</v>
      </c>
      <c r="E47" s="757" t="s">
        <v>754</v>
      </c>
      <c r="F47" s="691"/>
      <c r="G47" s="691"/>
      <c r="H47" s="757">
        <v>2017</v>
      </c>
      <c r="I47" s="756" t="s">
        <v>576</v>
      </c>
      <c r="J47" s="756" t="s">
        <v>588</v>
      </c>
      <c r="K47" s="632"/>
      <c r="L47" s="695"/>
      <c r="M47" s="696"/>
      <c r="N47" s="696"/>
      <c r="O47" s="696"/>
      <c r="P47" s="817"/>
      <c r="Q47" s="817"/>
      <c r="R47" s="817">
        <v>5</v>
      </c>
      <c r="S47" s="817">
        <v>5</v>
      </c>
      <c r="T47" s="817">
        <v>5</v>
      </c>
      <c r="U47" s="817">
        <v>5</v>
      </c>
      <c r="V47" s="817">
        <v>5</v>
      </c>
      <c r="W47" s="817">
        <v>5</v>
      </c>
      <c r="X47" s="817">
        <v>5</v>
      </c>
      <c r="Y47" s="817">
        <v>5</v>
      </c>
      <c r="Z47" s="817">
        <v>5</v>
      </c>
      <c r="AA47" s="817">
        <v>5</v>
      </c>
      <c r="AB47" s="817">
        <v>2</v>
      </c>
      <c r="AC47" s="817">
        <v>2</v>
      </c>
      <c r="AD47" s="817">
        <v>2</v>
      </c>
      <c r="AE47" s="817">
        <v>2</v>
      </c>
      <c r="AF47" s="817">
        <v>2</v>
      </c>
      <c r="AG47" s="817">
        <v>2</v>
      </c>
      <c r="AH47" s="817">
        <v>2</v>
      </c>
      <c r="AI47" s="817">
        <v>2</v>
      </c>
      <c r="AJ47" s="817">
        <v>2</v>
      </c>
      <c r="AK47" s="817">
        <v>2</v>
      </c>
      <c r="AL47" s="817">
        <v>0</v>
      </c>
      <c r="AM47" s="817"/>
      <c r="AN47" s="696"/>
      <c r="AO47" s="697"/>
      <c r="AP47" s="632"/>
      <c r="AQ47" s="695"/>
      <c r="AR47" s="696"/>
      <c r="AS47" s="696"/>
      <c r="AT47" s="696"/>
      <c r="AU47" s="696"/>
      <c r="AV47" s="696"/>
      <c r="AW47" s="817">
        <v>38245</v>
      </c>
      <c r="AX47" s="817">
        <v>38245</v>
      </c>
      <c r="AY47" s="817">
        <v>38245</v>
      </c>
      <c r="AZ47" s="817">
        <v>28901</v>
      </c>
      <c r="BA47" s="817">
        <v>28810</v>
      </c>
      <c r="BB47" s="817">
        <v>27569</v>
      </c>
      <c r="BC47" s="817">
        <v>27569</v>
      </c>
      <c r="BD47" s="817">
        <v>27182</v>
      </c>
      <c r="BE47" s="817">
        <v>27182</v>
      </c>
      <c r="BF47" s="817">
        <v>27182</v>
      </c>
      <c r="BG47" s="817">
        <v>27182</v>
      </c>
      <c r="BH47" s="817">
        <v>27182</v>
      </c>
      <c r="BI47" s="817">
        <v>27182</v>
      </c>
      <c r="BJ47" s="817">
        <v>0</v>
      </c>
      <c r="BK47" s="817">
        <v>0</v>
      </c>
      <c r="BL47" s="817">
        <v>0</v>
      </c>
      <c r="BM47" s="817">
        <v>0</v>
      </c>
      <c r="BN47" s="817">
        <v>0</v>
      </c>
      <c r="BO47" s="817">
        <v>0</v>
      </c>
      <c r="BP47" s="817">
        <v>0</v>
      </c>
      <c r="BQ47" s="817"/>
      <c r="BR47" s="817"/>
      <c r="BS47" s="817"/>
      <c r="BT47" s="817"/>
      <c r="BU47" s="16"/>
    </row>
    <row r="48" spans="2:75" s="17" customFormat="1" ht="15.6">
      <c r="B48" s="691" t="s">
        <v>769</v>
      </c>
      <c r="C48" s="757" t="s">
        <v>775</v>
      </c>
      <c r="D48" s="757" t="s">
        <v>118</v>
      </c>
      <c r="E48" s="757" t="s">
        <v>754</v>
      </c>
      <c r="F48" s="691"/>
      <c r="G48" s="691"/>
      <c r="H48" s="757">
        <v>2017</v>
      </c>
      <c r="I48" s="756" t="s">
        <v>576</v>
      </c>
      <c r="J48" s="756" t="s">
        <v>588</v>
      </c>
      <c r="K48" s="632"/>
      <c r="L48" s="695"/>
      <c r="M48" s="696"/>
      <c r="N48" s="696"/>
      <c r="O48" s="696"/>
      <c r="P48" s="817"/>
      <c r="Q48" s="817"/>
      <c r="R48" s="817">
        <v>63</v>
      </c>
      <c r="S48" s="817">
        <v>66</v>
      </c>
      <c r="T48" s="817">
        <v>66</v>
      </c>
      <c r="U48" s="817">
        <v>66</v>
      </c>
      <c r="V48" s="817">
        <v>66</v>
      </c>
      <c r="W48" s="817">
        <v>33</v>
      </c>
      <c r="X48" s="817">
        <v>33</v>
      </c>
      <c r="Y48" s="817">
        <v>33</v>
      </c>
      <c r="Z48" s="817">
        <v>33</v>
      </c>
      <c r="AA48" s="817">
        <v>33</v>
      </c>
      <c r="AB48" s="817">
        <v>17</v>
      </c>
      <c r="AC48" s="817">
        <v>17</v>
      </c>
      <c r="AD48" s="817">
        <v>11</v>
      </c>
      <c r="AE48" s="817">
        <v>11</v>
      </c>
      <c r="AF48" s="817">
        <v>1</v>
      </c>
      <c r="AG48" s="817">
        <v>0</v>
      </c>
      <c r="AH48" s="817">
        <v>0</v>
      </c>
      <c r="AI48" s="817">
        <v>0</v>
      </c>
      <c r="AJ48" s="817">
        <v>0</v>
      </c>
      <c r="AK48" s="817">
        <v>0</v>
      </c>
      <c r="AL48" s="817">
        <v>0</v>
      </c>
      <c r="AM48" s="817"/>
      <c r="AN48" s="696"/>
      <c r="AO48" s="697"/>
      <c r="AP48" s="632"/>
      <c r="AQ48" s="695"/>
      <c r="AR48" s="696"/>
      <c r="AS48" s="696"/>
      <c r="AT48" s="696"/>
      <c r="AU48" s="696"/>
      <c r="AV48" s="696"/>
      <c r="AW48" s="817">
        <v>91203</v>
      </c>
      <c r="AX48" s="817">
        <v>91203</v>
      </c>
      <c r="AY48" s="817">
        <v>91203</v>
      </c>
      <c r="AZ48" s="817">
        <v>24782</v>
      </c>
      <c r="BA48" s="817">
        <v>24782</v>
      </c>
      <c r="BB48" s="817">
        <v>6111</v>
      </c>
      <c r="BC48" s="817">
        <v>4042</v>
      </c>
      <c r="BD48" s="817">
        <v>327</v>
      </c>
      <c r="BE48" s="817">
        <v>0</v>
      </c>
      <c r="BF48" s="817">
        <v>0</v>
      </c>
      <c r="BG48" s="817">
        <v>0</v>
      </c>
      <c r="BH48" s="817">
        <v>0</v>
      </c>
      <c r="BI48" s="817">
        <v>0</v>
      </c>
      <c r="BJ48" s="817">
        <v>0</v>
      </c>
      <c r="BK48" s="817">
        <v>0</v>
      </c>
      <c r="BL48" s="817">
        <v>0</v>
      </c>
      <c r="BM48" s="817">
        <v>0</v>
      </c>
      <c r="BN48" s="817">
        <v>0</v>
      </c>
      <c r="BO48" s="817">
        <v>0</v>
      </c>
      <c r="BP48" s="817">
        <v>0</v>
      </c>
      <c r="BQ48" s="817"/>
      <c r="BR48" s="817"/>
      <c r="BS48" s="817"/>
      <c r="BT48" s="817"/>
      <c r="BU48" s="16"/>
    </row>
    <row r="49" spans="2:73" s="17" customFormat="1" ht="15.6">
      <c r="B49" s="691" t="s">
        <v>769</v>
      </c>
      <c r="C49" s="757" t="s">
        <v>775</v>
      </c>
      <c r="D49" s="757" t="s">
        <v>119</v>
      </c>
      <c r="E49" s="757" t="s">
        <v>754</v>
      </c>
      <c r="F49" s="691"/>
      <c r="G49" s="691"/>
      <c r="H49" s="757">
        <v>2017</v>
      </c>
      <c r="I49" s="756" t="s">
        <v>576</v>
      </c>
      <c r="J49" s="756" t="s">
        <v>588</v>
      </c>
      <c r="K49" s="632"/>
      <c r="L49" s="695"/>
      <c r="M49" s="696"/>
      <c r="N49" s="696"/>
      <c r="O49" s="696"/>
      <c r="P49" s="817"/>
      <c r="Q49" s="817"/>
      <c r="R49" s="817">
        <v>12</v>
      </c>
      <c r="S49" s="817">
        <v>12</v>
      </c>
      <c r="T49" s="817">
        <v>12</v>
      </c>
      <c r="U49" s="817">
        <v>11</v>
      </c>
      <c r="V49" s="817">
        <v>11</v>
      </c>
      <c r="W49" s="817">
        <v>11</v>
      </c>
      <c r="X49" s="817">
        <v>7</v>
      </c>
      <c r="Y49" s="817">
        <v>7</v>
      </c>
      <c r="Z49" s="817">
        <v>4</v>
      </c>
      <c r="AA49" s="817">
        <v>4</v>
      </c>
      <c r="AB49" s="817">
        <v>3</v>
      </c>
      <c r="AC49" s="817">
        <v>2</v>
      </c>
      <c r="AD49" s="817">
        <v>2</v>
      </c>
      <c r="AE49" s="817">
        <v>2</v>
      </c>
      <c r="AF49" s="817">
        <v>2</v>
      </c>
      <c r="AG49" s="817">
        <v>2</v>
      </c>
      <c r="AH49" s="817">
        <v>2</v>
      </c>
      <c r="AI49" s="817">
        <v>2</v>
      </c>
      <c r="AJ49" s="817">
        <v>2</v>
      </c>
      <c r="AK49" s="817">
        <v>2</v>
      </c>
      <c r="AL49" s="817">
        <v>0</v>
      </c>
      <c r="AM49" s="817"/>
      <c r="AN49" s="696"/>
      <c r="AO49" s="697"/>
      <c r="AP49" s="632"/>
      <c r="AQ49" s="695"/>
      <c r="AR49" s="696"/>
      <c r="AS49" s="696"/>
      <c r="AT49" s="696"/>
      <c r="AU49" s="696"/>
      <c r="AV49" s="696"/>
      <c r="AW49" s="817">
        <v>38662</v>
      </c>
      <c r="AX49" s="817">
        <v>24110</v>
      </c>
      <c r="AY49" s="817">
        <v>24110</v>
      </c>
      <c r="AZ49" s="817">
        <v>20962</v>
      </c>
      <c r="BA49" s="817">
        <v>19015</v>
      </c>
      <c r="BB49" s="817">
        <v>19015</v>
      </c>
      <c r="BC49" s="817">
        <v>19015</v>
      </c>
      <c r="BD49" s="817">
        <v>19015</v>
      </c>
      <c r="BE49" s="817">
        <v>19015</v>
      </c>
      <c r="BF49" s="817">
        <v>19015</v>
      </c>
      <c r="BG49" s="817">
        <v>19015</v>
      </c>
      <c r="BH49" s="817">
        <v>19015</v>
      </c>
      <c r="BI49" s="817">
        <v>19015</v>
      </c>
      <c r="BJ49" s="817">
        <v>6066</v>
      </c>
      <c r="BK49" s="817">
        <v>6066</v>
      </c>
      <c r="BL49" s="817">
        <v>6066</v>
      </c>
      <c r="BM49" s="817">
        <v>0</v>
      </c>
      <c r="BN49" s="817">
        <v>0</v>
      </c>
      <c r="BO49" s="817">
        <v>0</v>
      </c>
      <c r="BP49" s="817">
        <v>0</v>
      </c>
      <c r="BQ49" s="817"/>
      <c r="BR49" s="817"/>
      <c r="BS49" s="817"/>
      <c r="BT49" s="817"/>
      <c r="BU49" s="16"/>
    </row>
    <row r="50" spans="2:73" s="17" customFormat="1" ht="15.6">
      <c r="B50" s="691" t="s">
        <v>29</v>
      </c>
      <c r="C50" s="691" t="s">
        <v>776</v>
      </c>
      <c r="D50" s="757" t="s">
        <v>773</v>
      </c>
      <c r="E50" s="757" t="s">
        <v>754</v>
      </c>
      <c r="F50" s="691"/>
      <c r="G50" s="691"/>
      <c r="H50" s="757">
        <v>2017</v>
      </c>
      <c r="I50" s="756" t="s">
        <v>576</v>
      </c>
      <c r="J50" s="756" t="s">
        <v>588</v>
      </c>
      <c r="K50" s="632"/>
      <c r="L50" s="695"/>
      <c r="M50" s="696"/>
      <c r="N50" s="696"/>
      <c r="O50" s="696"/>
      <c r="P50" s="817"/>
      <c r="Q50" s="817"/>
      <c r="R50" s="817"/>
      <c r="S50" s="817"/>
      <c r="T50" s="817"/>
      <c r="U50" s="817"/>
      <c r="V50" s="817"/>
      <c r="W50" s="817"/>
      <c r="X50" s="817"/>
      <c r="Y50" s="817"/>
      <c r="Z50" s="817"/>
      <c r="AA50" s="817"/>
      <c r="AB50" s="817"/>
      <c r="AC50" s="817"/>
      <c r="AD50" s="817"/>
      <c r="AE50" s="817"/>
      <c r="AF50" s="817"/>
      <c r="AG50" s="817"/>
      <c r="AH50" s="817"/>
      <c r="AI50" s="817"/>
      <c r="AJ50" s="817"/>
      <c r="AK50" s="817"/>
      <c r="AL50" s="817"/>
      <c r="AM50" s="817"/>
      <c r="AN50" s="696"/>
      <c r="AO50" s="697"/>
      <c r="AP50" s="632"/>
      <c r="AQ50" s="695"/>
      <c r="AR50" s="696"/>
      <c r="AS50" s="696"/>
      <c r="AT50" s="696"/>
      <c r="AU50" s="696"/>
      <c r="AV50" s="696"/>
      <c r="AW50" s="817">
        <v>39647</v>
      </c>
      <c r="AX50" s="817">
        <v>39647</v>
      </c>
      <c r="AY50" s="817">
        <v>39647</v>
      </c>
      <c r="AZ50" s="817">
        <v>0</v>
      </c>
      <c r="BA50" s="817">
        <v>0</v>
      </c>
      <c r="BB50" s="817">
        <v>0</v>
      </c>
      <c r="BC50" s="817">
        <v>0</v>
      </c>
      <c r="BD50" s="817">
        <v>0</v>
      </c>
      <c r="BE50" s="817">
        <v>0</v>
      </c>
      <c r="BF50" s="817">
        <v>0</v>
      </c>
      <c r="BG50" s="817">
        <v>0</v>
      </c>
      <c r="BH50" s="817">
        <v>0</v>
      </c>
      <c r="BI50" s="817">
        <v>0</v>
      </c>
      <c r="BJ50" s="817">
        <v>0</v>
      </c>
      <c r="BK50" s="817">
        <v>0</v>
      </c>
      <c r="BL50" s="817">
        <v>0</v>
      </c>
      <c r="BM50" s="817">
        <v>0</v>
      </c>
      <c r="BN50" s="817">
        <v>0</v>
      </c>
      <c r="BO50" s="817">
        <v>0</v>
      </c>
      <c r="BP50" s="817">
        <v>0</v>
      </c>
      <c r="BQ50" s="817"/>
      <c r="BR50" s="817"/>
      <c r="BS50" s="817"/>
      <c r="BT50" s="817"/>
      <c r="BU50" s="16"/>
    </row>
    <row r="51" spans="2:73" s="17" customFormat="1" ht="15.6">
      <c r="B51" s="691"/>
      <c r="C51" s="691"/>
      <c r="D51" s="757"/>
      <c r="E51" s="691"/>
      <c r="F51" s="691"/>
      <c r="G51" s="691"/>
      <c r="H51" s="691"/>
      <c r="I51" s="643"/>
      <c r="J51" s="643"/>
      <c r="K51" s="632"/>
      <c r="L51" s="695"/>
      <c r="M51" s="696"/>
      <c r="N51" s="696"/>
      <c r="O51" s="696"/>
      <c r="P51" s="817"/>
      <c r="Q51" s="817"/>
      <c r="R51" s="817"/>
      <c r="S51" s="817"/>
      <c r="T51" s="817"/>
      <c r="U51" s="817"/>
      <c r="V51" s="817"/>
      <c r="W51" s="817"/>
      <c r="X51" s="817"/>
      <c r="Y51" s="817"/>
      <c r="Z51" s="817"/>
      <c r="AA51" s="817"/>
      <c r="AB51" s="817"/>
      <c r="AC51" s="817"/>
      <c r="AD51" s="817"/>
      <c r="AE51" s="817"/>
      <c r="AF51" s="817"/>
      <c r="AG51" s="817"/>
      <c r="AH51" s="817"/>
      <c r="AI51" s="817"/>
      <c r="AJ51" s="817"/>
      <c r="AK51" s="817"/>
      <c r="AL51" s="817"/>
      <c r="AM51" s="817"/>
      <c r="AN51" s="696"/>
      <c r="AO51" s="697"/>
      <c r="AP51" s="632"/>
      <c r="AQ51" s="695"/>
      <c r="AR51" s="696"/>
      <c r="AS51" s="696"/>
      <c r="AT51" s="696"/>
      <c r="AU51" s="696"/>
      <c r="AV51" s="696"/>
      <c r="AW51" s="696"/>
      <c r="AX51" s="696"/>
      <c r="AY51" s="696"/>
      <c r="AZ51" s="696"/>
      <c r="BA51" s="696"/>
      <c r="BB51" s="696"/>
      <c r="BC51" s="696"/>
      <c r="BD51" s="696"/>
      <c r="BE51" s="696"/>
      <c r="BF51" s="696"/>
      <c r="BG51" s="696"/>
      <c r="BH51" s="696"/>
      <c r="BI51" s="696"/>
      <c r="BJ51" s="696"/>
      <c r="BK51" s="696"/>
      <c r="BL51" s="696"/>
      <c r="BM51" s="696"/>
      <c r="BN51" s="696"/>
      <c r="BO51" s="696"/>
      <c r="BP51" s="696"/>
      <c r="BQ51" s="696"/>
      <c r="BR51" s="696"/>
      <c r="BS51" s="696"/>
      <c r="BT51" s="697"/>
      <c r="BU51" s="16"/>
    </row>
    <row r="52" spans="2:73" s="17" customFormat="1" ht="15.6">
      <c r="B52" s="691"/>
      <c r="C52" s="691"/>
      <c r="D52" s="691"/>
      <c r="E52" s="691"/>
      <c r="F52" s="691"/>
      <c r="G52" s="691"/>
      <c r="H52" s="691"/>
      <c r="I52" s="643"/>
      <c r="J52" s="643"/>
      <c r="K52" s="632"/>
      <c r="L52" s="695"/>
      <c r="M52" s="696"/>
      <c r="N52" s="696"/>
      <c r="O52" s="696"/>
      <c r="P52" s="817"/>
      <c r="Q52" s="817"/>
      <c r="R52" s="817"/>
      <c r="S52" s="817"/>
      <c r="T52" s="817"/>
      <c r="U52" s="817"/>
      <c r="V52" s="817"/>
      <c r="W52" s="817"/>
      <c r="X52" s="817"/>
      <c r="Y52" s="817"/>
      <c r="Z52" s="817"/>
      <c r="AA52" s="817"/>
      <c r="AB52" s="817"/>
      <c r="AC52" s="817"/>
      <c r="AD52" s="817"/>
      <c r="AE52" s="817"/>
      <c r="AF52" s="817"/>
      <c r="AG52" s="817"/>
      <c r="AH52" s="817"/>
      <c r="AI52" s="817"/>
      <c r="AJ52" s="817"/>
      <c r="AK52" s="817"/>
      <c r="AL52" s="817"/>
      <c r="AM52" s="817"/>
      <c r="AN52" s="696"/>
      <c r="AO52" s="697"/>
      <c r="AP52" s="632"/>
      <c r="AQ52" s="695"/>
      <c r="AR52" s="696"/>
      <c r="AS52" s="696"/>
      <c r="AT52" s="696"/>
      <c r="AU52" s="696"/>
      <c r="AV52" s="696"/>
      <c r="AW52" s="696"/>
      <c r="AX52" s="696"/>
      <c r="AY52" s="696"/>
      <c r="AZ52" s="696"/>
      <c r="BA52" s="696"/>
      <c r="BB52" s="696"/>
      <c r="BC52" s="696"/>
      <c r="BD52" s="696"/>
      <c r="BE52" s="696"/>
      <c r="BF52" s="696"/>
      <c r="BG52" s="696"/>
      <c r="BH52" s="696"/>
      <c r="BI52" s="696"/>
      <c r="BJ52" s="696"/>
      <c r="BK52" s="696"/>
      <c r="BL52" s="696"/>
      <c r="BM52" s="696"/>
      <c r="BN52" s="696"/>
      <c r="BO52" s="696"/>
      <c r="BP52" s="696"/>
      <c r="BQ52" s="696"/>
      <c r="BR52" s="696"/>
      <c r="BS52" s="696"/>
      <c r="BT52" s="697"/>
      <c r="BU52" s="16"/>
    </row>
    <row r="53" spans="2:73">
      <c r="B53" s="691"/>
      <c r="C53" s="691"/>
      <c r="D53" s="691"/>
      <c r="E53" s="691"/>
      <c r="F53" s="691"/>
      <c r="G53" s="691"/>
      <c r="H53" s="691"/>
      <c r="I53" s="643"/>
      <c r="J53" s="643"/>
      <c r="K53" s="632"/>
      <c r="L53" s="695"/>
      <c r="M53" s="696"/>
      <c r="N53" s="696"/>
      <c r="O53" s="696"/>
      <c r="P53" s="817"/>
      <c r="Q53" s="817"/>
      <c r="R53" s="817"/>
      <c r="S53" s="817"/>
      <c r="T53" s="817"/>
      <c r="U53" s="817"/>
      <c r="V53" s="817"/>
      <c r="W53" s="817"/>
      <c r="X53" s="817"/>
      <c r="Y53" s="817"/>
      <c r="Z53" s="817"/>
      <c r="AA53" s="817"/>
      <c r="AB53" s="817"/>
      <c r="AC53" s="817"/>
      <c r="AD53" s="817"/>
      <c r="AE53" s="817"/>
      <c r="AF53" s="817"/>
      <c r="AG53" s="817"/>
      <c r="AH53" s="817"/>
      <c r="AI53" s="817"/>
      <c r="AJ53" s="817"/>
      <c r="AK53" s="817"/>
      <c r="AL53" s="817"/>
      <c r="AM53" s="817"/>
      <c r="AN53" s="696"/>
      <c r="AO53" s="697"/>
      <c r="AP53" s="632"/>
      <c r="AQ53" s="695"/>
      <c r="AR53" s="696"/>
      <c r="AS53" s="696"/>
      <c r="AT53" s="696"/>
      <c r="AU53" s="696"/>
      <c r="AV53" s="696"/>
      <c r="AW53" s="696"/>
      <c r="AX53" s="696"/>
      <c r="AY53" s="696"/>
      <c r="AZ53" s="696"/>
      <c r="BA53" s="696"/>
      <c r="BB53" s="696"/>
      <c r="BC53" s="696"/>
      <c r="BD53" s="696"/>
      <c r="BE53" s="696"/>
      <c r="BF53" s="696"/>
      <c r="BG53" s="696"/>
      <c r="BH53" s="696"/>
      <c r="BI53" s="696"/>
      <c r="BJ53" s="696"/>
      <c r="BK53" s="696"/>
      <c r="BL53" s="696"/>
      <c r="BM53" s="696"/>
      <c r="BN53" s="696"/>
      <c r="BO53" s="696"/>
      <c r="BP53" s="696"/>
      <c r="BQ53" s="696"/>
      <c r="BR53" s="696"/>
      <c r="BS53" s="696"/>
      <c r="BT53" s="697"/>
    </row>
    <row r="54" spans="2:73">
      <c r="B54" s="691"/>
      <c r="C54" s="691"/>
      <c r="D54" s="691"/>
      <c r="E54" s="691"/>
      <c r="F54" s="691"/>
      <c r="G54" s="691"/>
      <c r="H54" s="691"/>
      <c r="I54" s="643"/>
      <c r="J54" s="643"/>
      <c r="K54" s="632"/>
      <c r="L54" s="695"/>
      <c r="M54" s="696"/>
      <c r="N54" s="696"/>
      <c r="O54" s="696"/>
      <c r="P54" s="817"/>
      <c r="Q54" s="817"/>
      <c r="R54" s="817"/>
      <c r="S54" s="817"/>
      <c r="T54" s="817"/>
      <c r="U54" s="817"/>
      <c r="V54" s="817"/>
      <c r="W54" s="817"/>
      <c r="X54" s="817"/>
      <c r="Y54" s="817"/>
      <c r="Z54" s="817"/>
      <c r="AA54" s="817"/>
      <c r="AB54" s="817"/>
      <c r="AC54" s="817"/>
      <c r="AD54" s="817"/>
      <c r="AE54" s="817"/>
      <c r="AF54" s="817"/>
      <c r="AG54" s="817"/>
      <c r="AH54" s="817"/>
      <c r="AI54" s="817"/>
      <c r="AJ54" s="817"/>
      <c r="AK54" s="817"/>
      <c r="AL54" s="817"/>
      <c r="AM54" s="817"/>
      <c r="AN54" s="696"/>
      <c r="AO54" s="697"/>
      <c r="AP54" s="632"/>
      <c r="AQ54" s="695"/>
      <c r="AR54" s="696"/>
      <c r="AS54" s="696"/>
      <c r="AT54" s="696"/>
      <c r="AU54" s="696"/>
      <c r="AV54" s="696"/>
      <c r="AW54" s="696"/>
      <c r="AX54" s="696"/>
      <c r="AY54" s="696"/>
      <c r="AZ54" s="696"/>
      <c r="BA54" s="696"/>
      <c r="BB54" s="696"/>
      <c r="BC54" s="696"/>
      <c r="BD54" s="696"/>
      <c r="BE54" s="696"/>
      <c r="BF54" s="696"/>
      <c r="BG54" s="696"/>
      <c r="BH54" s="696"/>
      <c r="BI54" s="696"/>
      <c r="BJ54" s="696"/>
      <c r="BK54" s="696"/>
      <c r="BL54" s="696"/>
      <c r="BM54" s="696"/>
      <c r="BN54" s="696"/>
      <c r="BO54" s="696"/>
      <c r="BP54" s="696"/>
      <c r="BQ54" s="696"/>
      <c r="BR54" s="696"/>
      <c r="BS54" s="696"/>
      <c r="BT54" s="697"/>
    </row>
    <row r="55" spans="2:73">
      <c r="B55" s="691"/>
      <c r="C55" s="691"/>
      <c r="D55" s="691"/>
      <c r="E55" s="691"/>
      <c r="F55" s="691"/>
      <c r="G55" s="691"/>
      <c r="H55" s="691"/>
      <c r="I55" s="643"/>
      <c r="J55" s="643"/>
      <c r="K55" s="632"/>
      <c r="L55" s="695"/>
      <c r="M55" s="696"/>
      <c r="N55" s="696"/>
      <c r="O55" s="696"/>
      <c r="P55" s="817"/>
      <c r="Q55" s="817"/>
      <c r="R55" s="817"/>
      <c r="S55" s="817"/>
      <c r="T55" s="817"/>
      <c r="U55" s="817"/>
      <c r="V55" s="817"/>
      <c r="W55" s="817"/>
      <c r="X55" s="817"/>
      <c r="Y55" s="817"/>
      <c r="Z55" s="817"/>
      <c r="AA55" s="817"/>
      <c r="AB55" s="817"/>
      <c r="AC55" s="817"/>
      <c r="AD55" s="817"/>
      <c r="AE55" s="817"/>
      <c r="AF55" s="817"/>
      <c r="AG55" s="817"/>
      <c r="AH55" s="817"/>
      <c r="AI55" s="817"/>
      <c r="AJ55" s="817"/>
      <c r="AK55" s="817"/>
      <c r="AL55" s="817"/>
      <c r="AM55" s="817"/>
      <c r="AN55" s="696"/>
      <c r="AO55" s="697"/>
      <c r="AP55" s="632"/>
      <c r="AQ55" s="695"/>
      <c r="AR55" s="696"/>
      <c r="AS55" s="696"/>
      <c r="AT55" s="696"/>
      <c r="AU55" s="696"/>
      <c r="AV55" s="696"/>
      <c r="AW55" s="696"/>
      <c r="AX55" s="696"/>
      <c r="AY55" s="696"/>
      <c r="AZ55" s="696"/>
      <c r="BA55" s="696"/>
      <c r="BB55" s="696"/>
      <c r="BC55" s="696"/>
      <c r="BD55" s="696"/>
      <c r="BE55" s="696"/>
      <c r="BF55" s="696"/>
      <c r="BG55" s="696"/>
      <c r="BH55" s="696"/>
      <c r="BI55" s="696"/>
      <c r="BJ55" s="696"/>
      <c r="BK55" s="696"/>
      <c r="BL55" s="696"/>
      <c r="BM55" s="696"/>
      <c r="BN55" s="696"/>
      <c r="BO55" s="696"/>
      <c r="BP55" s="696"/>
      <c r="BQ55" s="696"/>
      <c r="BR55" s="696"/>
      <c r="BS55" s="696"/>
      <c r="BT55" s="697"/>
    </row>
    <row r="56" spans="2:73">
      <c r="B56" s="691"/>
      <c r="C56" s="691"/>
      <c r="D56" s="691"/>
      <c r="E56" s="691"/>
      <c r="F56" s="691"/>
      <c r="G56" s="691"/>
      <c r="H56" s="691"/>
      <c r="I56" s="643"/>
      <c r="J56" s="643"/>
      <c r="K56" s="632"/>
      <c r="L56" s="695"/>
      <c r="M56" s="696"/>
      <c r="N56" s="696"/>
      <c r="O56" s="696"/>
      <c r="P56" s="817"/>
      <c r="Q56" s="817"/>
      <c r="R56" s="817"/>
      <c r="S56" s="817"/>
      <c r="T56" s="817"/>
      <c r="U56" s="817"/>
      <c r="V56" s="817"/>
      <c r="W56" s="817"/>
      <c r="X56" s="817"/>
      <c r="Y56" s="817"/>
      <c r="Z56" s="817"/>
      <c r="AA56" s="817"/>
      <c r="AB56" s="817"/>
      <c r="AC56" s="817"/>
      <c r="AD56" s="817"/>
      <c r="AE56" s="817"/>
      <c r="AF56" s="817"/>
      <c r="AG56" s="817"/>
      <c r="AH56" s="817"/>
      <c r="AI56" s="817"/>
      <c r="AJ56" s="817"/>
      <c r="AK56" s="817"/>
      <c r="AL56" s="817"/>
      <c r="AM56" s="817"/>
      <c r="AN56" s="696"/>
      <c r="AO56" s="697"/>
      <c r="AP56" s="632"/>
      <c r="AQ56" s="695"/>
      <c r="AR56" s="696"/>
      <c r="AS56" s="696"/>
      <c r="AT56" s="696"/>
      <c r="AU56" s="696"/>
      <c r="AV56" s="696"/>
      <c r="AW56" s="696"/>
      <c r="AX56" s="696"/>
      <c r="AY56" s="696"/>
      <c r="AZ56" s="696"/>
      <c r="BA56" s="696"/>
      <c r="BB56" s="696"/>
      <c r="BC56" s="696"/>
      <c r="BD56" s="696"/>
      <c r="BE56" s="696"/>
      <c r="BF56" s="696"/>
      <c r="BG56" s="696"/>
      <c r="BH56" s="696"/>
      <c r="BI56" s="696"/>
      <c r="BJ56" s="696"/>
      <c r="BK56" s="696"/>
      <c r="BL56" s="696"/>
      <c r="BM56" s="696"/>
      <c r="BN56" s="696"/>
      <c r="BO56" s="696"/>
      <c r="BP56" s="696"/>
      <c r="BQ56" s="696"/>
      <c r="BR56" s="696"/>
      <c r="BS56" s="696"/>
      <c r="BT56" s="697"/>
    </row>
    <row r="57" spans="2:73">
      <c r="B57" s="691"/>
      <c r="C57" s="691"/>
      <c r="D57" s="691"/>
      <c r="E57" s="691"/>
      <c r="F57" s="691"/>
      <c r="G57" s="691"/>
      <c r="H57" s="691"/>
      <c r="I57" s="643"/>
      <c r="J57" s="643"/>
      <c r="K57" s="632"/>
      <c r="L57" s="695"/>
      <c r="M57" s="696"/>
      <c r="N57" s="696"/>
      <c r="O57" s="696"/>
      <c r="P57" s="817"/>
      <c r="Q57" s="817"/>
      <c r="R57" s="817"/>
      <c r="S57" s="817"/>
      <c r="T57" s="817"/>
      <c r="U57" s="817"/>
      <c r="V57" s="817"/>
      <c r="W57" s="817"/>
      <c r="X57" s="817"/>
      <c r="Y57" s="817"/>
      <c r="Z57" s="817"/>
      <c r="AA57" s="817"/>
      <c r="AB57" s="817"/>
      <c r="AC57" s="817"/>
      <c r="AD57" s="817"/>
      <c r="AE57" s="817"/>
      <c r="AF57" s="817"/>
      <c r="AG57" s="817"/>
      <c r="AH57" s="817"/>
      <c r="AI57" s="817"/>
      <c r="AJ57" s="817"/>
      <c r="AK57" s="817"/>
      <c r="AL57" s="817"/>
      <c r="AM57" s="817"/>
      <c r="AN57" s="696"/>
      <c r="AO57" s="697"/>
      <c r="AP57" s="632"/>
      <c r="AQ57" s="695"/>
      <c r="AR57" s="696"/>
      <c r="AS57" s="696"/>
      <c r="AT57" s="696"/>
      <c r="AU57" s="696"/>
      <c r="AV57" s="696"/>
      <c r="AW57" s="696"/>
      <c r="AX57" s="696"/>
      <c r="AY57" s="696"/>
      <c r="AZ57" s="696"/>
      <c r="BA57" s="696"/>
      <c r="BB57" s="696"/>
      <c r="BC57" s="696"/>
      <c r="BD57" s="696"/>
      <c r="BE57" s="696"/>
      <c r="BF57" s="696"/>
      <c r="BG57" s="696"/>
      <c r="BH57" s="696"/>
      <c r="BI57" s="696"/>
      <c r="BJ57" s="696"/>
      <c r="BK57" s="696"/>
      <c r="BL57" s="696"/>
      <c r="BM57" s="696"/>
      <c r="BN57" s="696"/>
      <c r="BO57" s="696"/>
      <c r="BP57" s="696"/>
      <c r="BQ57" s="696"/>
      <c r="BR57" s="696"/>
      <c r="BS57" s="696"/>
      <c r="BT57" s="697"/>
    </row>
    <row r="58" spans="2:73">
      <c r="B58" s="691"/>
      <c r="C58" s="691"/>
      <c r="D58" s="691"/>
      <c r="E58" s="691"/>
      <c r="F58" s="691"/>
      <c r="G58" s="691"/>
      <c r="H58" s="691"/>
      <c r="I58" s="643"/>
      <c r="J58" s="643"/>
      <c r="K58" s="632"/>
      <c r="L58" s="695"/>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c r="AJ58" s="696"/>
      <c r="AK58" s="696"/>
      <c r="AL58" s="696"/>
      <c r="AM58" s="696"/>
      <c r="AN58" s="696"/>
      <c r="AO58" s="697"/>
      <c r="AP58" s="632"/>
      <c r="AQ58" s="695"/>
      <c r="AR58" s="696"/>
      <c r="AS58" s="696"/>
      <c r="AT58" s="696"/>
      <c r="AU58" s="696"/>
      <c r="AV58" s="696"/>
      <c r="AW58" s="696"/>
      <c r="AX58" s="696"/>
      <c r="AY58" s="696"/>
      <c r="AZ58" s="696"/>
      <c r="BA58" s="696"/>
      <c r="BB58" s="696"/>
      <c r="BC58" s="696"/>
      <c r="BD58" s="696"/>
      <c r="BE58" s="696"/>
      <c r="BF58" s="696"/>
      <c r="BG58" s="696"/>
      <c r="BH58" s="696"/>
      <c r="BI58" s="696"/>
      <c r="BJ58" s="696"/>
      <c r="BK58" s="696"/>
      <c r="BL58" s="696"/>
      <c r="BM58" s="696"/>
      <c r="BN58" s="696"/>
      <c r="BO58" s="696"/>
      <c r="BP58" s="696"/>
      <c r="BQ58" s="696"/>
      <c r="BR58" s="696"/>
      <c r="BS58" s="696"/>
      <c r="BT58" s="697"/>
    </row>
    <row r="59" spans="2:73">
      <c r="B59" s="691"/>
      <c r="C59" s="691"/>
      <c r="D59" s="691"/>
      <c r="E59" s="691"/>
      <c r="F59" s="691"/>
      <c r="G59" s="691"/>
      <c r="H59" s="691"/>
      <c r="I59" s="643"/>
      <c r="J59" s="643"/>
      <c r="K59" s="632"/>
      <c r="L59" s="695"/>
      <c r="M59" s="696"/>
      <c r="N59" s="696"/>
      <c r="O59" s="696"/>
      <c r="P59" s="696"/>
      <c r="Q59" s="696"/>
      <c r="R59" s="696"/>
      <c r="S59" s="696"/>
      <c r="T59" s="696"/>
      <c r="U59" s="696"/>
      <c r="V59" s="696"/>
      <c r="W59" s="696"/>
      <c r="X59" s="696"/>
      <c r="Y59" s="696"/>
      <c r="Z59" s="696"/>
      <c r="AA59" s="696"/>
      <c r="AB59" s="696"/>
      <c r="AC59" s="696"/>
      <c r="AD59" s="696"/>
      <c r="AE59" s="696"/>
      <c r="AF59" s="696"/>
      <c r="AG59" s="696"/>
      <c r="AH59" s="696"/>
      <c r="AI59" s="696"/>
      <c r="AJ59" s="696"/>
      <c r="AK59" s="696"/>
      <c r="AL59" s="696"/>
      <c r="AM59" s="696"/>
      <c r="AN59" s="696"/>
      <c r="AO59" s="697"/>
      <c r="AP59" s="632"/>
      <c r="AQ59" s="695"/>
      <c r="AR59" s="696"/>
      <c r="AS59" s="696"/>
      <c r="AT59" s="696"/>
      <c r="AU59" s="696"/>
      <c r="AV59" s="696"/>
      <c r="AW59" s="696"/>
      <c r="AX59" s="696"/>
      <c r="AY59" s="696"/>
      <c r="AZ59" s="696"/>
      <c r="BA59" s="696"/>
      <c r="BB59" s="696"/>
      <c r="BC59" s="696"/>
      <c r="BD59" s="696"/>
      <c r="BE59" s="696"/>
      <c r="BF59" s="696"/>
      <c r="BG59" s="696"/>
      <c r="BH59" s="696"/>
      <c r="BI59" s="696"/>
      <c r="BJ59" s="696"/>
      <c r="BK59" s="696"/>
      <c r="BL59" s="696"/>
      <c r="BM59" s="696"/>
      <c r="BN59" s="696"/>
      <c r="BO59" s="696"/>
      <c r="BP59" s="696"/>
      <c r="BQ59" s="696"/>
      <c r="BR59" s="696"/>
      <c r="BS59" s="696"/>
      <c r="BT59" s="697"/>
    </row>
    <row r="60" spans="2:73" ht="15.6">
      <c r="B60" s="691"/>
      <c r="C60" s="691"/>
      <c r="D60" s="691"/>
      <c r="E60" s="691"/>
      <c r="F60" s="691"/>
      <c r="G60" s="691"/>
      <c r="H60" s="691"/>
      <c r="I60" s="643"/>
      <c r="J60" s="643"/>
      <c r="K60" s="632"/>
      <c r="L60" s="695"/>
      <c r="M60" s="696"/>
      <c r="N60" s="696"/>
      <c r="O60" s="696"/>
      <c r="P60" s="696"/>
      <c r="Q60" s="696"/>
      <c r="R60" s="696"/>
      <c r="S60" s="696"/>
      <c r="T60" s="696"/>
      <c r="U60" s="696"/>
      <c r="V60" s="696"/>
      <c r="W60" s="696"/>
      <c r="X60" s="696"/>
      <c r="Y60" s="696"/>
      <c r="Z60" s="696"/>
      <c r="AA60" s="696"/>
      <c r="AB60" s="696"/>
      <c r="AC60" s="696"/>
      <c r="AD60" s="696"/>
      <c r="AE60" s="696"/>
      <c r="AF60" s="696"/>
      <c r="AG60" s="696"/>
      <c r="AH60" s="696"/>
      <c r="AI60" s="696"/>
      <c r="AJ60" s="696"/>
      <c r="AK60" s="696"/>
      <c r="AL60" s="696"/>
      <c r="AM60" s="696"/>
      <c r="AN60" s="696"/>
      <c r="AO60" s="697"/>
      <c r="AP60" s="632"/>
      <c r="AQ60" s="695"/>
      <c r="AR60" s="696"/>
      <c r="AS60" s="696"/>
      <c r="AT60" s="696"/>
      <c r="AU60" s="696"/>
      <c r="AV60" s="696"/>
      <c r="AW60" s="696"/>
      <c r="AX60" s="696"/>
      <c r="AY60" s="696"/>
      <c r="AZ60" s="696"/>
      <c r="BA60" s="696"/>
      <c r="BB60" s="696"/>
      <c r="BC60" s="696"/>
      <c r="BD60" s="696"/>
      <c r="BE60" s="696"/>
      <c r="BF60" s="696"/>
      <c r="BG60" s="696"/>
      <c r="BH60" s="696"/>
      <c r="BI60" s="696"/>
      <c r="BJ60" s="696"/>
      <c r="BK60" s="696"/>
      <c r="BL60" s="696"/>
      <c r="BM60" s="696"/>
      <c r="BN60" s="696"/>
      <c r="BO60" s="696"/>
      <c r="BP60" s="696"/>
      <c r="BQ60" s="696"/>
      <c r="BR60" s="696"/>
      <c r="BS60" s="696"/>
      <c r="BT60" s="697"/>
      <c r="BU60" s="163"/>
    </row>
    <row r="61" spans="2:73">
      <c r="B61" s="691"/>
      <c r="C61" s="691"/>
      <c r="D61" s="691"/>
      <c r="E61" s="691"/>
      <c r="F61" s="691"/>
      <c r="G61" s="691"/>
      <c r="H61" s="691"/>
      <c r="I61" s="643"/>
      <c r="J61" s="643"/>
      <c r="K61" s="632"/>
      <c r="L61" s="695"/>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6"/>
      <c r="AL61" s="696"/>
      <c r="AM61" s="696"/>
      <c r="AN61" s="696"/>
      <c r="AO61" s="697"/>
      <c r="AP61" s="632"/>
      <c r="AQ61" s="695"/>
      <c r="AR61" s="696"/>
      <c r="AS61" s="696"/>
      <c r="AT61" s="696"/>
      <c r="AU61" s="696"/>
      <c r="AV61" s="696"/>
      <c r="AW61" s="696"/>
      <c r="AX61" s="696"/>
      <c r="AY61" s="696"/>
      <c r="AZ61" s="696"/>
      <c r="BA61" s="696"/>
      <c r="BB61" s="696"/>
      <c r="BC61" s="696"/>
      <c r="BD61" s="696"/>
      <c r="BE61" s="696"/>
      <c r="BF61" s="696"/>
      <c r="BG61" s="696"/>
      <c r="BH61" s="696"/>
      <c r="BI61" s="696"/>
      <c r="BJ61" s="696"/>
      <c r="BK61" s="696"/>
      <c r="BL61" s="696"/>
      <c r="BM61" s="696"/>
      <c r="BN61" s="696"/>
      <c r="BO61" s="696"/>
      <c r="BP61" s="696"/>
      <c r="BQ61" s="696"/>
      <c r="BR61" s="696"/>
      <c r="BS61" s="696"/>
      <c r="BT61" s="697"/>
    </row>
    <row r="62" spans="2:73">
      <c r="B62" s="691"/>
      <c r="C62" s="691"/>
      <c r="D62" s="691"/>
      <c r="E62" s="691"/>
      <c r="F62" s="691"/>
      <c r="G62" s="691"/>
      <c r="H62" s="691"/>
      <c r="I62" s="643"/>
      <c r="J62" s="643"/>
      <c r="K62" s="632"/>
      <c r="L62" s="695"/>
      <c r="M62" s="696"/>
      <c r="N62" s="696"/>
      <c r="O62" s="696"/>
      <c r="P62" s="696"/>
      <c r="Q62" s="696"/>
      <c r="R62" s="696"/>
      <c r="S62" s="696"/>
      <c r="T62" s="696"/>
      <c r="U62" s="696"/>
      <c r="V62" s="696"/>
      <c r="W62" s="696"/>
      <c r="X62" s="696"/>
      <c r="Y62" s="696"/>
      <c r="Z62" s="696"/>
      <c r="AA62" s="696"/>
      <c r="AB62" s="696"/>
      <c r="AC62" s="696"/>
      <c r="AD62" s="696"/>
      <c r="AE62" s="696"/>
      <c r="AF62" s="696"/>
      <c r="AG62" s="696"/>
      <c r="AH62" s="696"/>
      <c r="AI62" s="696"/>
      <c r="AJ62" s="696"/>
      <c r="AK62" s="696"/>
      <c r="AL62" s="696"/>
      <c r="AM62" s="696"/>
      <c r="AN62" s="696"/>
      <c r="AO62" s="697"/>
      <c r="AP62" s="632"/>
      <c r="AQ62" s="695"/>
      <c r="AR62" s="696"/>
      <c r="AS62" s="696"/>
      <c r="AT62" s="696"/>
      <c r="AU62" s="696"/>
      <c r="AV62" s="696"/>
      <c r="AW62" s="696"/>
      <c r="AX62" s="696"/>
      <c r="AY62" s="696"/>
      <c r="AZ62" s="696"/>
      <c r="BA62" s="696"/>
      <c r="BB62" s="696"/>
      <c r="BC62" s="696"/>
      <c r="BD62" s="696"/>
      <c r="BE62" s="696"/>
      <c r="BF62" s="696"/>
      <c r="BG62" s="696"/>
      <c r="BH62" s="696"/>
      <c r="BI62" s="696"/>
      <c r="BJ62" s="696"/>
      <c r="BK62" s="696"/>
      <c r="BL62" s="696"/>
      <c r="BM62" s="696"/>
      <c r="BN62" s="696"/>
      <c r="BO62" s="696"/>
      <c r="BP62" s="696"/>
      <c r="BQ62" s="696"/>
      <c r="BR62" s="696"/>
      <c r="BS62" s="696"/>
      <c r="BT62" s="697"/>
    </row>
    <row r="63" spans="2:73">
      <c r="B63" s="691"/>
      <c r="C63" s="691"/>
      <c r="D63" s="691"/>
      <c r="E63" s="691"/>
      <c r="F63" s="691"/>
      <c r="G63" s="691"/>
      <c r="H63" s="691"/>
      <c r="I63" s="643"/>
      <c r="J63" s="643"/>
      <c r="K63" s="632"/>
      <c r="L63" s="695"/>
      <c r="M63" s="696"/>
      <c r="N63" s="696"/>
      <c r="O63" s="696"/>
      <c r="P63" s="696"/>
      <c r="Q63" s="696"/>
      <c r="R63" s="696"/>
      <c r="S63" s="696"/>
      <c r="T63" s="696"/>
      <c r="U63" s="696"/>
      <c r="V63" s="696"/>
      <c r="W63" s="696"/>
      <c r="X63" s="696"/>
      <c r="Y63" s="696"/>
      <c r="Z63" s="696"/>
      <c r="AA63" s="696"/>
      <c r="AB63" s="696"/>
      <c r="AC63" s="696"/>
      <c r="AD63" s="696"/>
      <c r="AE63" s="696"/>
      <c r="AF63" s="696"/>
      <c r="AG63" s="696"/>
      <c r="AH63" s="696"/>
      <c r="AI63" s="696"/>
      <c r="AJ63" s="696"/>
      <c r="AK63" s="696"/>
      <c r="AL63" s="696"/>
      <c r="AM63" s="696"/>
      <c r="AN63" s="696"/>
      <c r="AO63" s="697"/>
      <c r="AP63" s="632"/>
      <c r="AQ63" s="695"/>
      <c r="AR63" s="696"/>
      <c r="AS63" s="696"/>
      <c r="AT63" s="696"/>
      <c r="AU63" s="696"/>
      <c r="AV63" s="696"/>
      <c r="AW63" s="696"/>
      <c r="AX63" s="696"/>
      <c r="AY63" s="696"/>
      <c r="AZ63" s="696"/>
      <c r="BA63" s="696"/>
      <c r="BB63" s="696"/>
      <c r="BC63" s="696"/>
      <c r="BD63" s="696"/>
      <c r="BE63" s="696"/>
      <c r="BF63" s="696"/>
      <c r="BG63" s="696"/>
      <c r="BH63" s="696"/>
      <c r="BI63" s="696"/>
      <c r="BJ63" s="696"/>
      <c r="BK63" s="696"/>
      <c r="BL63" s="696"/>
      <c r="BM63" s="696"/>
      <c r="BN63" s="696"/>
      <c r="BO63" s="696"/>
      <c r="BP63" s="696"/>
      <c r="BQ63" s="696"/>
      <c r="BR63" s="696"/>
      <c r="BS63" s="696"/>
      <c r="BT63" s="697"/>
    </row>
    <row r="64" spans="2:73">
      <c r="B64" s="691"/>
      <c r="C64" s="691"/>
      <c r="D64" s="691"/>
      <c r="E64" s="691"/>
      <c r="F64" s="691"/>
      <c r="G64" s="691"/>
      <c r="H64" s="691"/>
      <c r="I64" s="643"/>
      <c r="J64" s="643"/>
      <c r="K64" s="632"/>
      <c r="L64" s="695"/>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7"/>
      <c r="AP64" s="632"/>
      <c r="AQ64" s="695"/>
      <c r="AR64" s="696"/>
      <c r="AS64" s="696"/>
      <c r="AT64" s="696"/>
      <c r="AU64" s="696"/>
      <c r="AV64" s="696"/>
      <c r="AW64" s="696"/>
      <c r="AX64" s="696"/>
      <c r="AY64" s="696"/>
      <c r="AZ64" s="696"/>
      <c r="BA64" s="696"/>
      <c r="BB64" s="696"/>
      <c r="BC64" s="696"/>
      <c r="BD64" s="696"/>
      <c r="BE64" s="696"/>
      <c r="BF64" s="696"/>
      <c r="BG64" s="696"/>
      <c r="BH64" s="696"/>
      <c r="BI64" s="696"/>
      <c r="BJ64" s="696"/>
      <c r="BK64" s="696"/>
      <c r="BL64" s="696"/>
      <c r="BM64" s="696"/>
      <c r="BN64" s="696"/>
      <c r="BO64" s="696"/>
      <c r="BP64" s="696"/>
      <c r="BQ64" s="696"/>
      <c r="BR64" s="696"/>
      <c r="BS64" s="696"/>
      <c r="BT64" s="697"/>
    </row>
    <row r="65" spans="2:73">
      <c r="B65" s="691"/>
      <c r="C65" s="691"/>
      <c r="D65" s="691"/>
      <c r="E65" s="691"/>
      <c r="F65" s="691"/>
      <c r="G65" s="691"/>
      <c r="H65" s="691"/>
      <c r="I65" s="643"/>
      <c r="J65" s="643"/>
      <c r="K65" s="632"/>
      <c r="L65" s="695"/>
      <c r="M65" s="696"/>
      <c r="N65" s="696"/>
      <c r="O65" s="696"/>
      <c r="P65" s="696"/>
      <c r="Q65" s="696"/>
      <c r="R65" s="696"/>
      <c r="S65" s="696"/>
      <c r="T65" s="696"/>
      <c r="U65" s="696"/>
      <c r="V65" s="696"/>
      <c r="W65" s="696"/>
      <c r="X65" s="696"/>
      <c r="Y65" s="696"/>
      <c r="Z65" s="696"/>
      <c r="AA65" s="696"/>
      <c r="AB65" s="696"/>
      <c r="AC65" s="696"/>
      <c r="AD65" s="696"/>
      <c r="AE65" s="696"/>
      <c r="AF65" s="696"/>
      <c r="AG65" s="696"/>
      <c r="AH65" s="696"/>
      <c r="AI65" s="696"/>
      <c r="AJ65" s="696"/>
      <c r="AK65" s="696"/>
      <c r="AL65" s="696"/>
      <c r="AM65" s="696"/>
      <c r="AN65" s="696"/>
      <c r="AO65" s="697"/>
      <c r="AP65" s="632"/>
      <c r="AQ65" s="695"/>
      <c r="AR65" s="696"/>
      <c r="AS65" s="696"/>
      <c r="AT65" s="696"/>
      <c r="AU65" s="696"/>
      <c r="AV65" s="696"/>
      <c r="AW65" s="696"/>
      <c r="AX65" s="696"/>
      <c r="AY65" s="696"/>
      <c r="AZ65" s="696"/>
      <c r="BA65" s="696"/>
      <c r="BB65" s="696"/>
      <c r="BC65" s="696"/>
      <c r="BD65" s="696"/>
      <c r="BE65" s="696"/>
      <c r="BF65" s="696"/>
      <c r="BG65" s="696"/>
      <c r="BH65" s="696"/>
      <c r="BI65" s="696"/>
      <c r="BJ65" s="696"/>
      <c r="BK65" s="696"/>
      <c r="BL65" s="696"/>
      <c r="BM65" s="696"/>
      <c r="BN65" s="696"/>
      <c r="BO65" s="696"/>
      <c r="BP65" s="696"/>
      <c r="BQ65" s="696"/>
      <c r="BR65" s="696"/>
      <c r="BS65" s="696"/>
      <c r="BT65" s="697"/>
    </row>
    <row r="66" spans="2:73">
      <c r="B66" s="691"/>
      <c r="C66" s="691"/>
      <c r="D66" s="691"/>
      <c r="E66" s="691"/>
      <c r="F66" s="691"/>
      <c r="G66" s="691"/>
      <c r="H66" s="691"/>
      <c r="I66" s="643"/>
      <c r="J66" s="643"/>
      <c r="K66" s="632"/>
      <c r="L66" s="695"/>
      <c r="M66" s="696"/>
      <c r="N66" s="696"/>
      <c r="O66" s="696"/>
      <c r="P66" s="696"/>
      <c r="Q66" s="696"/>
      <c r="R66" s="696"/>
      <c r="S66" s="696"/>
      <c r="T66" s="696"/>
      <c r="U66" s="696"/>
      <c r="V66" s="696"/>
      <c r="W66" s="696"/>
      <c r="X66" s="696"/>
      <c r="Y66" s="696"/>
      <c r="Z66" s="696"/>
      <c r="AA66" s="696"/>
      <c r="AB66" s="696"/>
      <c r="AC66" s="696"/>
      <c r="AD66" s="696"/>
      <c r="AE66" s="696"/>
      <c r="AF66" s="696"/>
      <c r="AG66" s="696"/>
      <c r="AH66" s="696"/>
      <c r="AI66" s="696"/>
      <c r="AJ66" s="696"/>
      <c r="AK66" s="696"/>
      <c r="AL66" s="696"/>
      <c r="AM66" s="696"/>
      <c r="AN66" s="696"/>
      <c r="AO66" s="697"/>
      <c r="AP66" s="632"/>
      <c r="AQ66" s="695"/>
      <c r="AR66" s="696"/>
      <c r="AS66" s="696"/>
      <c r="AT66" s="696"/>
      <c r="AU66" s="696"/>
      <c r="AV66" s="696"/>
      <c r="AW66" s="696"/>
      <c r="AX66" s="696"/>
      <c r="AY66" s="696"/>
      <c r="AZ66" s="696"/>
      <c r="BA66" s="696"/>
      <c r="BB66" s="696"/>
      <c r="BC66" s="696"/>
      <c r="BD66" s="696"/>
      <c r="BE66" s="696"/>
      <c r="BF66" s="696"/>
      <c r="BG66" s="696"/>
      <c r="BH66" s="696"/>
      <c r="BI66" s="696"/>
      <c r="BJ66" s="696"/>
      <c r="BK66" s="696"/>
      <c r="BL66" s="696"/>
      <c r="BM66" s="696"/>
      <c r="BN66" s="696"/>
      <c r="BO66" s="696"/>
      <c r="BP66" s="696"/>
      <c r="BQ66" s="696"/>
      <c r="BR66" s="696"/>
      <c r="BS66" s="696"/>
      <c r="BT66" s="697"/>
    </row>
    <row r="67" spans="2:73">
      <c r="B67" s="691"/>
      <c r="C67" s="691"/>
      <c r="D67" s="691"/>
      <c r="E67" s="691"/>
      <c r="F67" s="691"/>
      <c r="G67" s="691"/>
      <c r="H67" s="691"/>
      <c r="I67" s="643"/>
      <c r="J67" s="643"/>
      <c r="K67" s="632"/>
      <c r="L67" s="695"/>
      <c r="M67" s="696"/>
      <c r="N67" s="696"/>
      <c r="O67" s="696"/>
      <c r="P67" s="696"/>
      <c r="Q67" s="696"/>
      <c r="R67" s="696"/>
      <c r="S67" s="696"/>
      <c r="T67" s="696"/>
      <c r="U67" s="696"/>
      <c r="V67" s="696"/>
      <c r="W67" s="696"/>
      <c r="X67" s="696"/>
      <c r="Y67" s="696"/>
      <c r="Z67" s="696"/>
      <c r="AA67" s="696"/>
      <c r="AB67" s="696"/>
      <c r="AC67" s="696"/>
      <c r="AD67" s="696"/>
      <c r="AE67" s="696"/>
      <c r="AF67" s="696"/>
      <c r="AG67" s="696"/>
      <c r="AH67" s="696"/>
      <c r="AI67" s="696"/>
      <c r="AJ67" s="696"/>
      <c r="AK67" s="696"/>
      <c r="AL67" s="696"/>
      <c r="AM67" s="696"/>
      <c r="AN67" s="696"/>
      <c r="AO67" s="697"/>
      <c r="AP67" s="632"/>
      <c r="AQ67" s="695"/>
      <c r="AR67" s="696"/>
      <c r="AS67" s="696"/>
      <c r="AT67" s="696"/>
      <c r="AU67" s="696"/>
      <c r="AV67" s="696"/>
      <c r="AW67" s="696"/>
      <c r="AX67" s="696"/>
      <c r="AY67" s="696"/>
      <c r="AZ67" s="696"/>
      <c r="BA67" s="696"/>
      <c r="BB67" s="696"/>
      <c r="BC67" s="696"/>
      <c r="BD67" s="696"/>
      <c r="BE67" s="696"/>
      <c r="BF67" s="696"/>
      <c r="BG67" s="696"/>
      <c r="BH67" s="696"/>
      <c r="BI67" s="696"/>
      <c r="BJ67" s="696"/>
      <c r="BK67" s="696"/>
      <c r="BL67" s="696"/>
      <c r="BM67" s="696"/>
      <c r="BN67" s="696"/>
      <c r="BO67" s="696"/>
      <c r="BP67" s="696"/>
      <c r="BQ67" s="696"/>
      <c r="BR67" s="696"/>
      <c r="BS67" s="696"/>
      <c r="BT67" s="697"/>
    </row>
    <row r="68" spans="2:73">
      <c r="B68" s="691"/>
      <c r="C68" s="691"/>
      <c r="D68" s="691"/>
      <c r="E68" s="691"/>
      <c r="F68" s="691"/>
      <c r="G68" s="691"/>
      <c r="H68" s="691"/>
      <c r="I68" s="643"/>
      <c r="J68" s="643"/>
      <c r="K68" s="632"/>
      <c r="L68" s="695"/>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7"/>
      <c r="AP68" s="632"/>
      <c r="AQ68" s="695"/>
      <c r="AR68" s="696"/>
      <c r="AS68" s="696"/>
      <c r="AT68" s="696"/>
      <c r="AU68" s="696"/>
      <c r="AV68" s="696"/>
      <c r="AW68" s="696"/>
      <c r="AX68" s="696"/>
      <c r="AY68" s="696"/>
      <c r="AZ68" s="696"/>
      <c r="BA68" s="696"/>
      <c r="BB68" s="696"/>
      <c r="BC68" s="696"/>
      <c r="BD68" s="696"/>
      <c r="BE68" s="696"/>
      <c r="BF68" s="696"/>
      <c r="BG68" s="696"/>
      <c r="BH68" s="696"/>
      <c r="BI68" s="696"/>
      <c r="BJ68" s="696"/>
      <c r="BK68" s="696"/>
      <c r="BL68" s="696"/>
      <c r="BM68" s="696"/>
      <c r="BN68" s="696"/>
      <c r="BO68" s="696"/>
      <c r="BP68" s="696"/>
      <c r="BQ68" s="696"/>
      <c r="BR68" s="696"/>
      <c r="BS68" s="696"/>
      <c r="BT68" s="697"/>
    </row>
    <row r="69" spans="2:73">
      <c r="B69" s="691"/>
      <c r="C69" s="691"/>
      <c r="D69" s="691"/>
      <c r="E69" s="691"/>
      <c r="F69" s="691"/>
      <c r="G69" s="691"/>
      <c r="H69" s="691"/>
      <c r="I69" s="643"/>
      <c r="J69" s="643"/>
      <c r="K69" s="632"/>
      <c r="L69" s="695"/>
      <c r="M69" s="696"/>
      <c r="N69" s="696"/>
      <c r="O69" s="696"/>
      <c r="P69" s="696"/>
      <c r="Q69" s="696"/>
      <c r="R69" s="696"/>
      <c r="S69" s="696"/>
      <c r="T69" s="696"/>
      <c r="U69" s="696"/>
      <c r="V69" s="696"/>
      <c r="W69" s="696"/>
      <c r="X69" s="696"/>
      <c r="Y69" s="696"/>
      <c r="Z69" s="696"/>
      <c r="AA69" s="696"/>
      <c r="AB69" s="696"/>
      <c r="AC69" s="696"/>
      <c r="AD69" s="696"/>
      <c r="AE69" s="696"/>
      <c r="AF69" s="696"/>
      <c r="AG69" s="696"/>
      <c r="AH69" s="696"/>
      <c r="AI69" s="696"/>
      <c r="AJ69" s="696"/>
      <c r="AK69" s="696"/>
      <c r="AL69" s="696"/>
      <c r="AM69" s="696"/>
      <c r="AN69" s="696"/>
      <c r="AO69" s="697"/>
      <c r="AP69" s="632"/>
      <c r="AQ69" s="695"/>
      <c r="AR69" s="696"/>
      <c r="AS69" s="696"/>
      <c r="AT69" s="696"/>
      <c r="AU69" s="696"/>
      <c r="AV69" s="696"/>
      <c r="AW69" s="696"/>
      <c r="AX69" s="696"/>
      <c r="AY69" s="696"/>
      <c r="AZ69" s="696"/>
      <c r="BA69" s="696"/>
      <c r="BB69" s="696"/>
      <c r="BC69" s="696"/>
      <c r="BD69" s="696"/>
      <c r="BE69" s="696"/>
      <c r="BF69" s="696"/>
      <c r="BG69" s="696"/>
      <c r="BH69" s="696"/>
      <c r="BI69" s="696"/>
      <c r="BJ69" s="696"/>
      <c r="BK69" s="696"/>
      <c r="BL69" s="696"/>
      <c r="BM69" s="696"/>
      <c r="BN69" s="696"/>
      <c r="BO69" s="696"/>
      <c r="BP69" s="696"/>
      <c r="BQ69" s="696"/>
      <c r="BR69" s="696"/>
      <c r="BS69" s="696"/>
      <c r="BT69" s="697"/>
    </row>
    <row r="70" spans="2:73">
      <c r="B70" s="691"/>
      <c r="C70" s="691"/>
      <c r="D70" s="691"/>
      <c r="E70" s="691"/>
      <c r="F70" s="691"/>
      <c r="G70" s="691"/>
      <c r="H70" s="691"/>
      <c r="I70" s="643"/>
      <c r="J70" s="643"/>
      <c r="K70" s="632"/>
      <c r="L70" s="695"/>
      <c r="M70" s="696"/>
      <c r="N70" s="696"/>
      <c r="O70" s="696"/>
      <c r="P70" s="696"/>
      <c r="Q70" s="696"/>
      <c r="R70" s="696"/>
      <c r="S70" s="696"/>
      <c r="T70" s="696"/>
      <c r="U70" s="696"/>
      <c r="V70" s="696"/>
      <c r="W70" s="696"/>
      <c r="X70" s="696"/>
      <c r="Y70" s="696"/>
      <c r="Z70" s="696"/>
      <c r="AA70" s="696"/>
      <c r="AB70" s="696"/>
      <c r="AC70" s="696"/>
      <c r="AD70" s="696"/>
      <c r="AE70" s="696"/>
      <c r="AF70" s="696"/>
      <c r="AG70" s="696"/>
      <c r="AH70" s="696"/>
      <c r="AI70" s="696"/>
      <c r="AJ70" s="696"/>
      <c r="AK70" s="696"/>
      <c r="AL70" s="696"/>
      <c r="AM70" s="696"/>
      <c r="AN70" s="696"/>
      <c r="AO70" s="697"/>
      <c r="AP70" s="632"/>
      <c r="AQ70" s="695"/>
      <c r="AR70" s="696"/>
      <c r="AS70" s="696"/>
      <c r="AT70" s="696"/>
      <c r="AU70" s="696"/>
      <c r="AV70" s="696"/>
      <c r="AW70" s="696"/>
      <c r="AX70" s="696"/>
      <c r="AY70" s="696"/>
      <c r="AZ70" s="696"/>
      <c r="BA70" s="696"/>
      <c r="BB70" s="696"/>
      <c r="BC70" s="696"/>
      <c r="BD70" s="696"/>
      <c r="BE70" s="696"/>
      <c r="BF70" s="696"/>
      <c r="BG70" s="696"/>
      <c r="BH70" s="696"/>
      <c r="BI70" s="696"/>
      <c r="BJ70" s="696"/>
      <c r="BK70" s="696"/>
      <c r="BL70" s="696"/>
      <c r="BM70" s="696"/>
      <c r="BN70" s="696"/>
      <c r="BO70" s="696"/>
      <c r="BP70" s="696"/>
      <c r="BQ70" s="696"/>
      <c r="BR70" s="696"/>
      <c r="BS70" s="696"/>
      <c r="BT70" s="697"/>
    </row>
    <row r="71" spans="2:73">
      <c r="B71" s="691"/>
      <c r="C71" s="691"/>
      <c r="D71" s="691"/>
      <c r="E71" s="691"/>
      <c r="F71" s="691"/>
      <c r="G71" s="691"/>
      <c r="H71" s="691"/>
      <c r="I71" s="643"/>
      <c r="J71" s="643"/>
      <c r="K71" s="632"/>
      <c r="L71" s="695"/>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7"/>
      <c r="AP71" s="632"/>
      <c r="AQ71" s="698"/>
      <c r="AR71" s="699"/>
      <c r="AS71" s="699"/>
      <c r="AT71" s="699"/>
      <c r="AU71" s="699"/>
      <c r="AV71" s="699"/>
      <c r="AW71" s="699"/>
      <c r="AX71" s="699"/>
      <c r="AY71" s="699"/>
      <c r="AZ71" s="699"/>
      <c r="BA71" s="699"/>
      <c r="BB71" s="699"/>
      <c r="BC71" s="699"/>
      <c r="BD71" s="699"/>
      <c r="BE71" s="699"/>
      <c r="BF71" s="699"/>
      <c r="BG71" s="699"/>
      <c r="BH71" s="699"/>
      <c r="BI71" s="699"/>
      <c r="BJ71" s="699"/>
      <c r="BK71" s="699"/>
      <c r="BL71" s="699"/>
      <c r="BM71" s="699"/>
      <c r="BN71" s="699"/>
      <c r="BO71" s="699"/>
      <c r="BP71" s="699"/>
      <c r="BQ71" s="699"/>
      <c r="BR71" s="699"/>
      <c r="BS71" s="699"/>
      <c r="BT71" s="700"/>
    </row>
    <row r="72" spans="2:73">
      <c r="B72" s="691"/>
      <c r="C72" s="691"/>
      <c r="D72" s="691"/>
      <c r="E72" s="691"/>
      <c r="F72" s="691"/>
      <c r="G72" s="691"/>
      <c r="H72" s="691"/>
      <c r="I72" s="643"/>
      <c r="J72" s="643"/>
      <c r="K72" s="632"/>
      <c r="L72" s="695"/>
      <c r="M72" s="696"/>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7"/>
      <c r="AP72" s="632"/>
      <c r="AQ72" s="692"/>
      <c r="AR72" s="693"/>
      <c r="AS72" s="693"/>
      <c r="AT72" s="693"/>
      <c r="AU72" s="693"/>
      <c r="AV72" s="693"/>
      <c r="AW72" s="693"/>
      <c r="AX72" s="693"/>
      <c r="AY72" s="693"/>
      <c r="AZ72" s="693"/>
      <c r="BA72" s="693"/>
      <c r="BB72" s="693"/>
      <c r="BC72" s="693"/>
      <c r="BD72" s="693"/>
      <c r="BE72" s="693"/>
      <c r="BF72" s="693"/>
      <c r="BG72" s="693"/>
      <c r="BH72" s="693"/>
      <c r="BI72" s="693"/>
      <c r="BJ72" s="693"/>
      <c r="BK72" s="693"/>
      <c r="BL72" s="693"/>
      <c r="BM72" s="693"/>
      <c r="BN72" s="693"/>
      <c r="BO72" s="693"/>
      <c r="BP72" s="693"/>
      <c r="BQ72" s="693"/>
      <c r="BR72" s="693"/>
      <c r="BS72" s="693"/>
      <c r="BT72" s="694"/>
    </row>
    <row r="73" spans="2:73">
      <c r="B73" s="691"/>
      <c r="C73" s="691"/>
      <c r="D73" s="691"/>
      <c r="E73" s="691"/>
      <c r="F73" s="691"/>
      <c r="G73" s="691"/>
      <c r="H73" s="691"/>
      <c r="I73" s="643"/>
      <c r="J73" s="643"/>
      <c r="K73" s="632"/>
      <c r="L73" s="695"/>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6"/>
      <c r="AL73" s="696"/>
      <c r="AM73" s="696"/>
      <c r="AN73" s="696"/>
      <c r="AO73" s="697"/>
      <c r="AP73" s="632"/>
      <c r="AQ73" s="695"/>
      <c r="AR73" s="696"/>
      <c r="AS73" s="696"/>
      <c r="AT73" s="696"/>
      <c r="AU73" s="696"/>
      <c r="AV73" s="696"/>
      <c r="AW73" s="696"/>
      <c r="AX73" s="696"/>
      <c r="AY73" s="696"/>
      <c r="AZ73" s="696"/>
      <c r="BA73" s="696"/>
      <c r="BB73" s="696"/>
      <c r="BC73" s="696"/>
      <c r="BD73" s="696"/>
      <c r="BE73" s="696"/>
      <c r="BF73" s="696"/>
      <c r="BG73" s="696"/>
      <c r="BH73" s="696"/>
      <c r="BI73" s="696"/>
      <c r="BJ73" s="696"/>
      <c r="BK73" s="696"/>
      <c r="BL73" s="696"/>
      <c r="BM73" s="696"/>
      <c r="BN73" s="696"/>
      <c r="BO73" s="696"/>
      <c r="BP73" s="696"/>
      <c r="BQ73" s="696"/>
      <c r="BR73" s="696"/>
      <c r="BS73" s="696"/>
      <c r="BT73" s="697"/>
    </row>
    <row r="74" spans="2:73">
      <c r="B74" s="691"/>
      <c r="C74" s="691"/>
      <c r="D74" s="691"/>
      <c r="E74" s="691"/>
      <c r="F74" s="691"/>
      <c r="G74" s="691"/>
      <c r="H74" s="691"/>
      <c r="I74" s="643"/>
      <c r="J74" s="643"/>
      <c r="K74" s="632"/>
      <c r="L74" s="695"/>
      <c r="M74" s="696"/>
      <c r="N74" s="696"/>
      <c r="O74" s="696"/>
      <c r="P74" s="696"/>
      <c r="Q74" s="696"/>
      <c r="R74" s="696"/>
      <c r="S74" s="696"/>
      <c r="T74" s="696"/>
      <c r="U74" s="696"/>
      <c r="V74" s="696"/>
      <c r="W74" s="696"/>
      <c r="X74" s="696"/>
      <c r="Y74" s="696"/>
      <c r="Z74" s="696"/>
      <c r="AA74" s="696"/>
      <c r="AB74" s="696"/>
      <c r="AC74" s="696"/>
      <c r="AD74" s="696"/>
      <c r="AE74" s="696"/>
      <c r="AF74" s="696"/>
      <c r="AG74" s="696"/>
      <c r="AH74" s="696"/>
      <c r="AI74" s="696"/>
      <c r="AJ74" s="696"/>
      <c r="AK74" s="696"/>
      <c r="AL74" s="696"/>
      <c r="AM74" s="696"/>
      <c r="AN74" s="696"/>
      <c r="AO74" s="697"/>
      <c r="AP74" s="632"/>
      <c r="AQ74" s="695"/>
      <c r="AR74" s="696"/>
      <c r="AS74" s="696"/>
      <c r="AT74" s="696"/>
      <c r="AU74" s="696"/>
      <c r="AV74" s="696"/>
      <c r="AW74" s="696"/>
      <c r="AX74" s="696"/>
      <c r="AY74" s="696"/>
      <c r="AZ74" s="696"/>
      <c r="BA74" s="696"/>
      <c r="BB74" s="696"/>
      <c r="BC74" s="696"/>
      <c r="BD74" s="696"/>
      <c r="BE74" s="696"/>
      <c r="BF74" s="696"/>
      <c r="BG74" s="696"/>
      <c r="BH74" s="696"/>
      <c r="BI74" s="696"/>
      <c r="BJ74" s="696"/>
      <c r="BK74" s="696"/>
      <c r="BL74" s="696"/>
      <c r="BM74" s="696"/>
      <c r="BN74" s="696"/>
      <c r="BO74" s="696"/>
      <c r="BP74" s="696"/>
      <c r="BQ74" s="696"/>
      <c r="BR74" s="696"/>
      <c r="BS74" s="696"/>
      <c r="BT74" s="697"/>
    </row>
    <row r="75" spans="2:73">
      <c r="B75" s="691"/>
      <c r="C75" s="691"/>
      <c r="D75" s="691"/>
      <c r="E75" s="691"/>
      <c r="F75" s="691"/>
      <c r="G75" s="691"/>
      <c r="H75" s="691"/>
      <c r="I75" s="643"/>
      <c r="J75" s="643"/>
      <c r="K75" s="632"/>
      <c r="L75" s="695"/>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7"/>
      <c r="AP75" s="632"/>
      <c r="AQ75" s="695"/>
      <c r="AR75" s="696"/>
      <c r="AS75" s="696"/>
      <c r="AT75" s="696"/>
      <c r="AU75" s="696"/>
      <c r="AV75" s="696"/>
      <c r="AW75" s="696"/>
      <c r="AX75" s="696"/>
      <c r="AY75" s="696"/>
      <c r="AZ75" s="696"/>
      <c r="BA75" s="696"/>
      <c r="BB75" s="696"/>
      <c r="BC75" s="696"/>
      <c r="BD75" s="696"/>
      <c r="BE75" s="696"/>
      <c r="BF75" s="696"/>
      <c r="BG75" s="696"/>
      <c r="BH75" s="696"/>
      <c r="BI75" s="696"/>
      <c r="BJ75" s="696"/>
      <c r="BK75" s="696"/>
      <c r="BL75" s="696"/>
      <c r="BM75" s="696"/>
      <c r="BN75" s="696"/>
      <c r="BO75" s="696"/>
      <c r="BP75" s="696"/>
      <c r="BQ75" s="696"/>
      <c r="BR75" s="696"/>
      <c r="BS75" s="696"/>
      <c r="BT75" s="697"/>
    </row>
    <row r="76" spans="2:73">
      <c r="B76" s="691"/>
      <c r="C76" s="691"/>
      <c r="D76" s="691"/>
      <c r="E76" s="691"/>
      <c r="F76" s="691"/>
      <c r="G76" s="691"/>
      <c r="H76" s="691"/>
      <c r="I76" s="643"/>
      <c r="J76" s="643"/>
      <c r="K76" s="632"/>
      <c r="L76" s="695"/>
      <c r="M76" s="696"/>
      <c r="N76" s="696"/>
      <c r="O76" s="696"/>
      <c r="P76" s="696"/>
      <c r="Q76" s="696"/>
      <c r="R76" s="696"/>
      <c r="S76" s="696"/>
      <c r="T76" s="696"/>
      <c r="U76" s="696"/>
      <c r="V76" s="696"/>
      <c r="W76" s="696"/>
      <c r="X76" s="696"/>
      <c r="Y76" s="696"/>
      <c r="Z76" s="696"/>
      <c r="AA76" s="696"/>
      <c r="AB76" s="696"/>
      <c r="AC76" s="696"/>
      <c r="AD76" s="696"/>
      <c r="AE76" s="696"/>
      <c r="AF76" s="696"/>
      <c r="AG76" s="696"/>
      <c r="AH76" s="696"/>
      <c r="AI76" s="696"/>
      <c r="AJ76" s="696"/>
      <c r="AK76" s="696"/>
      <c r="AL76" s="696"/>
      <c r="AM76" s="696"/>
      <c r="AN76" s="696"/>
      <c r="AO76" s="697"/>
      <c r="AP76" s="632"/>
      <c r="AQ76" s="695"/>
      <c r="AR76" s="696"/>
      <c r="AS76" s="696"/>
      <c r="AT76" s="696"/>
      <c r="AU76" s="696"/>
      <c r="AV76" s="696"/>
      <c r="AW76" s="696"/>
      <c r="AX76" s="696"/>
      <c r="AY76" s="696"/>
      <c r="AZ76" s="696"/>
      <c r="BA76" s="696"/>
      <c r="BB76" s="696"/>
      <c r="BC76" s="696"/>
      <c r="BD76" s="696"/>
      <c r="BE76" s="696"/>
      <c r="BF76" s="696"/>
      <c r="BG76" s="696"/>
      <c r="BH76" s="696"/>
      <c r="BI76" s="696"/>
      <c r="BJ76" s="696"/>
      <c r="BK76" s="696"/>
      <c r="BL76" s="696"/>
      <c r="BM76" s="696"/>
      <c r="BN76" s="696"/>
      <c r="BO76" s="696"/>
      <c r="BP76" s="696"/>
      <c r="BQ76" s="696"/>
      <c r="BR76" s="696"/>
      <c r="BS76" s="696"/>
      <c r="BT76" s="697"/>
    </row>
    <row r="77" spans="2:73">
      <c r="B77" s="691"/>
      <c r="C77" s="691"/>
      <c r="D77" s="691"/>
      <c r="E77" s="691"/>
      <c r="F77" s="691"/>
      <c r="G77" s="691"/>
      <c r="H77" s="691"/>
      <c r="I77" s="643"/>
      <c r="J77" s="643"/>
      <c r="K77" s="632"/>
      <c r="L77" s="695"/>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7"/>
      <c r="AP77" s="632"/>
      <c r="AQ77" s="695"/>
      <c r="AR77" s="696"/>
      <c r="AS77" s="696"/>
      <c r="AT77" s="696"/>
      <c r="AU77" s="696"/>
      <c r="AV77" s="696"/>
      <c r="AW77" s="696"/>
      <c r="AX77" s="696"/>
      <c r="AY77" s="696"/>
      <c r="AZ77" s="696"/>
      <c r="BA77" s="696"/>
      <c r="BB77" s="696"/>
      <c r="BC77" s="696"/>
      <c r="BD77" s="696"/>
      <c r="BE77" s="696"/>
      <c r="BF77" s="696"/>
      <c r="BG77" s="696"/>
      <c r="BH77" s="696"/>
      <c r="BI77" s="696"/>
      <c r="BJ77" s="696"/>
      <c r="BK77" s="696"/>
      <c r="BL77" s="696"/>
      <c r="BM77" s="696"/>
      <c r="BN77" s="696"/>
      <c r="BO77" s="696"/>
      <c r="BP77" s="696"/>
      <c r="BQ77" s="696"/>
      <c r="BR77" s="696"/>
      <c r="BS77" s="696"/>
      <c r="BT77" s="697"/>
    </row>
    <row r="78" spans="2:73">
      <c r="B78" s="691"/>
      <c r="C78" s="691"/>
      <c r="D78" s="691"/>
      <c r="E78" s="691"/>
      <c r="F78" s="691"/>
      <c r="G78" s="691"/>
      <c r="H78" s="691"/>
      <c r="I78" s="643"/>
      <c r="J78" s="643"/>
      <c r="K78" s="632"/>
      <c r="L78" s="695"/>
      <c r="M78" s="696"/>
      <c r="N78" s="696"/>
      <c r="O78" s="696"/>
      <c r="P78" s="696"/>
      <c r="Q78" s="696"/>
      <c r="R78" s="696"/>
      <c r="S78" s="696"/>
      <c r="T78" s="696"/>
      <c r="U78" s="696"/>
      <c r="V78" s="696"/>
      <c r="W78" s="696"/>
      <c r="X78" s="696"/>
      <c r="Y78" s="696"/>
      <c r="Z78" s="696"/>
      <c r="AA78" s="696"/>
      <c r="AB78" s="696"/>
      <c r="AC78" s="696"/>
      <c r="AD78" s="696"/>
      <c r="AE78" s="696"/>
      <c r="AF78" s="696"/>
      <c r="AG78" s="696"/>
      <c r="AH78" s="696"/>
      <c r="AI78" s="696"/>
      <c r="AJ78" s="696"/>
      <c r="AK78" s="696"/>
      <c r="AL78" s="696"/>
      <c r="AM78" s="696"/>
      <c r="AN78" s="696"/>
      <c r="AO78" s="697"/>
      <c r="AP78" s="632"/>
      <c r="AQ78" s="695"/>
      <c r="AR78" s="696"/>
      <c r="AS78" s="696"/>
      <c r="AT78" s="696"/>
      <c r="AU78" s="696"/>
      <c r="AV78" s="696"/>
      <c r="AW78" s="696"/>
      <c r="AX78" s="696"/>
      <c r="AY78" s="696"/>
      <c r="AZ78" s="696"/>
      <c r="BA78" s="696"/>
      <c r="BB78" s="696"/>
      <c r="BC78" s="696"/>
      <c r="BD78" s="696"/>
      <c r="BE78" s="696"/>
      <c r="BF78" s="696"/>
      <c r="BG78" s="696"/>
      <c r="BH78" s="696"/>
      <c r="BI78" s="696"/>
      <c r="BJ78" s="696"/>
      <c r="BK78" s="696"/>
      <c r="BL78" s="696"/>
      <c r="BM78" s="696"/>
      <c r="BN78" s="696"/>
      <c r="BO78" s="696"/>
      <c r="BP78" s="696"/>
      <c r="BQ78" s="696"/>
      <c r="BR78" s="696"/>
      <c r="BS78" s="696"/>
      <c r="BT78" s="697"/>
    </row>
    <row r="79" spans="2:73" ht="15.6">
      <c r="B79" s="691"/>
      <c r="C79" s="691"/>
      <c r="D79" s="691"/>
      <c r="E79" s="691"/>
      <c r="F79" s="691"/>
      <c r="G79" s="691"/>
      <c r="H79" s="691"/>
      <c r="I79" s="643"/>
      <c r="J79" s="643"/>
      <c r="K79" s="632"/>
      <c r="L79" s="695"/>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6"/>
      <c r="AJ79" s="696"/>
      <c r="AK79" s="696"/>
      <c r="AL79" s="696"/>
      <c r="AM79" s="696"/>
      <c r="AN79" s="696"/>
      <c r="AO79" s="697"/>
      <c r="AP79" s="632"/>
      <c r="AQ79" s="695"/>
      <c r="AR79" s="696"/>
      <c r="AS79" s="696"/>
      <c r="AT79" s="696"/>
      <c r="AU79" s="696"/>
      <c r="AV79" s="696"/>
      <c r="AW79" s="696"/>
      <c r="AX79" s="696"/>
      <c r="AY79" s="696"/>
      <c r="AZ79" s="696"/>
      <c r="BA79" s="696"/>
      <c r="BB79" s="696"/>
      <c r="BC79" s="696"/>
      <c r="BD79" s="696"/>
      <c r="BE79" s="696"/>
      <c r="BF79" s="696"/>
      <c r="BG79" s="696"/>
      <c r="BH79" s="696"/>
      <c r="BI79" s="696"/>
      <c r="BJ79" s="696"/>
      <c r="BK79" s="696"/>
      <c r="BL79" s="696"/>
      <c r="BM79" s="696"/>
      <c r="BN79" s="696"/>
      <c r="BO79" s="696"/>
      <c r="BP79" s="696"/>
      <c r="BQ79" s="696"/>
      <c r="BR79" s="696"/>
      <c r="BS79" s="696"/>
      <c r="BT79" s="697"/>
      <c r="BU79" s="163"/>
    </row>
    <row r="80" spans="2:73" ht="15.6">
      <c r="B80" s="691"/>
      <c r="C80" s="691"/>
      <c r="D80" s="691"/>
      <c r="E80" s="691"/>
      <c r="F80" s="691"/>
      <c r="G80" s="691"/>
      <c r="H80" s="691"/>
      <c r="I80" s="643"/>
      <c r="J80" s="643"/>
      <c r="K80" s="632"/>
      <c r="L80" s="695"/>
      <c r="M80" s="696"/>
      <c r="N80" s="696"/>
      <c r="O80" s="696"/>
      <c r="P80" s="696"/>
      <c r="Q80" s="696"/>
      <c r="R80" s="696"/>
      <c r="S80" s="696"/>
      <c r="T80" s="696"/>
      <c r="U80" s="696"/>
      <c r="V80" s="696"/>
      <c r="W80" s="696"/>
      <c r="X80" s="696"/>
      <c r="Y80" s="696"/>
      <c r="Z80" s="696"/>
      <c r="AA80" s="696"/>
      <c r="AB80" s="696"/>
      <c r="AC80" s="696"/>
      <c r="AD80" s="696"/>
      <c r="AE80" s="696"/>
      <c r="AF80" s="696"/>
      <c r="AG80" s="696"/>
      <c r="AH80" s="696"/>
      <c r="AI80" s="696"/>
      <c r="AJ80" s="696"/>
      <c r="AK80" s="696"/>
      <c r="AL80" s="696"/>
      <c r="AM80" s="696"/>
      <c r="AN80" s="696"/>
      <c r="AO80" s="697"/>
      <c r="AP80" s="632"/>
      <c r="AQ80" s="695"/>
      <c r="AR80" s="696"/>
      <c r="AS80" s="696"/>
      <c r="AT80" s="696"/>
      <c r="AU80" s="696"/>
      <c r="AV80" s="696"/>
      <c r="AW80" s="696"/>
      <c r="AX80" s="696"/>
      <c r="AY80" s="696"/>
      <c r="AZ80" s="696"/>
      <c r="BA80" s="696"/>
      <c r="BB80" s="696"/>
      <c r="BC80" s="696"/>
      <c r="BD80" s="696"/>
      <c r="BE80" s="696"/>
      <c r="BF80" s="696"/>
      <c r="BG80" s="696"/>
      <c r="BH80" s="696"/>
      <c r="BI80" s="696"/>
      <c r="BJ80" s="696"/>
      <c r="BK80" s="696"/>
      <c r="BL80" s="696"/>
      <c r="BM80" s="696"/>
      <c r="BN80" s="696"/>
      <c r="BO80" s="696"/>
      <c r="BP80" s="696"/>
      <c r="BQ80" s="696"/>
      <c r="BR80" s="696"/>
      <c r="BS80" s="696"/>
      <c r="BT80" s="697"/>
      <c r="BU80" s="163"/>
    </row>
    <row r="81" spans="2:73">
      <c r="B81" s="691"/>
      <c r="C81" s="691"/>
      <c r="D81" s="691"/>
      <c r="E81" s="691"/>
      <c r="F81" s="691"/>
      <c r="G81" s="691"/>
      <c r="H81" s="691"/>
      <c r="I81" s="643"/>
      <c r="J81" s="643"/>
      <c r="K81" s="632"/>
      <c r="L81" s="695"/>
      <c r="M81" s="696"/>
      <c r="N81" s="696"/>
      <c r="O81" s="696"/>
      <c r="P81" s="696"/>
      <c r="Q81" s="696"/>
      <c r="R81" s="696"/>
      <c r="S81" s="696"/>
      <c r="T81" s="696"/>
      <c r="U81" s="696"/>
      <c r="V81" s="696"/>
      <c r="W81" s="696"/>
      <c r="X81" s="696"/>
      <c r="Y81" s="696"/>
      <c r="Z81" s="696"/>
      <c r="AA81" s="696"/>
      <c r="AB81" s="696"/>
      <c r="AC81" s="696"/>
      <c r="AD81" s="696"/>
      <c r="AE81" s="696"/>
      <c r="AF81" s="696"/>
      <c r="AG81" s="696"/>
      <c r="AH81" s="696"/>
      <c r="AI81" s="696"/>
      <c r="AJ81" s="696"/>
      <c r="AK81" s="696"/>
      <c r="AL81" s="696"/>
      <c r="AM81" s="696"/>
      <c r="AN81" s="696"/>
      <c r="AO81" s="697"/>
      <c r="AP81" s="632"/>
      <c r="AQ81" s="695"/>
      <c r="AR81" s="696"/>
      <c r="AS81" s="696"/>
      <c r="AT81" s="696"/>
      <c r="AU81" s="696"/>
      <c r="AV81" s="696"/>
      <c r="AW81" s="696"/>
      <c r="AX81" s="696"/>
      <c r="AY81" s="696"/>
      <c r="AZ81" s="696"/>
      <c r="BA81" s="696"/>
      <c r="BB81" s="696"/>
      <c r="BC81" s="696"/>
      <c r="BD81" s="696"/>
      <c r="BE81" s="696"/>
      <c r="BF81" s="696"/>
      <c r="BG81" s="696"/>
      <c r="BH81" s="696"/>
      <c r="BI81" s="696"/>
      <c r="BJ81" s="696"/>
      <c r="BK81" s="696"/>
      <c r="BL81" s="696"/>
      <c r="BM81" s="696"/>
      <c r="BN81" s="696"/>
      <c r="BO81" s="696"/>
      <c r="BP81" s="696"/>
      <c r="BQ81" s="696"/>
      <c r="BR81" s="696"/>
      <c r="BS81" s="696"/>
      <c r="BT81" s="697"/>
    </row>
    <row r="82" spans="2:73" ht="15.6">
      <c r="B82" s="691"/>
      <c r="C82" s="691"/>
      <c r="D82" s="691"/>
      <c r="E82" s="691"/>
      <c r="F82" s="691"/>
      <c r="G82" s="691"/>
      <c r="H82" s="691"/>
      <c r="I82" s="643"/>
      <c r="J82" s="643"/>
      <c r="K82" s="632"/>
      <c r="L82" s="695"/>
      <c r="M82" s="696"/>
      <c r="N82" s="696"/>
      <c r="O82" s="696"/>
      <c r="P82" s="696"/>
      <c r="Q82" s="696"/>
      <c r="R82" s="696"/>
      <c r="S82" s="696"/>
      <c r="T82" s="696"/>
      <c r="U82" s="696"/>
      <c r="V82" s="696"/>
      <c r="W82" s="696"/>
      <c r="X82" s="696"/>
      <c r="Y82" s="696"/>
      <c r="Z82" s="696"/>
      <c r="AA82" s="696"/>
      <c r="AB82" s="696"/>
      <c r="AC82" s="696"/>
      <c r="AD82" s="696"/>
      <c r="AE82" s="696"/>
      <c r="AF82" s="696"/>
      <c r="AG82" s="696"/>
      <c r="AH82" s="696"/>
      <c r="AI82" s="696"/>
      <c r="AJ82" s="696"/>
      <c r="AK82" s="696"/>
      <c r="AL82" s="696"/>
      <c r="AM82" s="696"/>
      <c r="AN82" s="696"/>
      <c r="AO82" s="697"/>
      <c r="AP82" s="632"/>
      <c r="AQ82" s="695"/>
      <c r="AR82" s="696"/>
      <c r="AS82" s="696"/>
      <c r="AT82" s="696"/>
      <c r="AU82" s="696"/>
      <c r="AV82" s="696"/>
      <c r="AW82" s="696"/>
      <c r="AX82" s="696"/>
      <c r="AY82" s="696"/>
      <c r="AZ82" s="696"/>
      <c r="BA82" s="696"/>
      <c r="BB82" s="696"/>
      <c r="BC82" s="696"/>
      <c r="BD82" s="696"/>
      <c r="BE82" s="696"/>
      <c r="BF82" s="696"/>
      <c r="BG82" s="696"/>
      <c r="BH82" s="696"/>
      <c r="BI82" s="696"/>
      <c r="BJ82" s="696"/>
      <c r="BK82" s="696"/>
      <c r="BL82" s="696"/>
      <c r="BM82" s="696"/>
      <c r="BN82" s="696"/>
      <c r="BO82" s="696"/>
      <c r="BP82" s="696"/>
      <c r="BQ82" s="696"/>
      <c r="BR82" s="696"/>
      <c r="BS82" s="696"/>
      <c r="BT82" s="697"/>
      <c r="BU82" s="163"/>
    </row>
    <row r="83" spans="2:73" ht="15.6">
      <c r="B83" s="691"/>
      <c r="C83" s="691"/>
      <c r="D83" s="691"/>
      <c r="E83" s="691"/>
      <c r="F83" s="691"/>
      <c r="G83" s="691"/>
      <c r="H83" s="691"/>
      <c r="I83" s="643"/>
      <c r="J83" s="643"/>
      <c r="K83" s="632"/>
      <c r="L83" s="695"/>
      <c r="M83" s="696"/>
      <c r="N83" s="696"/>
      <c r="O83" s="696"/>
      <c r="P83" s="696"/>
      <c r="Q83" s="696"/>
      <c r="R83" s="696"/>
      <c r="S83" s="696"/>
      <c r="T83" s="696"/>
      <c r="U83" s="696"/>
      <c r="V83" s="696"/>
      <c r="W83" s="696"/>
      <c r="X83" s="696"/>
      <c r="Y83" s="696"/>
      <c r="Z83" s="696"/>
      <c r="AA83" s="696"/>
      <c r="AB83" s="696"/>
      <c r="AC83" s="696"/>
      <c r="AD83" s="696"/>
      <c r="AE83" s="696"/>
      <c r="AF83" s="696"/>
      <c r="AG83" s="696"/>
      <c r="AH83" s="696"/>
      <c r="AI83" s="696"/>
      <c r="AJ83" s="696"/>
      <c r="AK83" s="696"/>
      <c r="AL83" s="696"/>
      <c r="AM83" s="696"/>
      <c r="AN83" s="696"/>
      <c r="AO83" s="697"/>
      <c r="AP83" s="632"/>
      <c r="AQ83" s="695"/>
      <c r="AR83" s="696"/>
      <c r="AS83" s="696"/>
      <c r="AT83" s="696"/>
      <c r="AU83" s="696"/>
      <c r="AV83" s="696"/>
      <c r="AW83" s="696"/>
      <c r="AX83" s="696"/>
      <c r="AY83" s="696"/>
      <c r="AZ83" s="696"/>
      <c r="BA83" s="696"/>
      <c r="BB83" s="696"/>
      <c r="BC83" s="696"/>
      <c r="BD83" s="696"/>
      <c r="BE83" s="696"/>
      <c r="BF83" s="696"/>
      <c r="BG83" s="696"/>
      <c r="BH83" s="696"/>
      <c r="BI83" s="696"/>
      <c r="BJ83" s="696"/>
      <c r="BK83" s="696"/>
      <c r="BL83" s="696"/>
      <c r="BM83" s="696"/>
      <c r="BN83" s="696"/>
      <c r="BO83" s="696"/>
      <c r="BP83" s="696"/>
      <c r="BQ83" s="696"/>
      <c r="BR83" s="696"/>
      <c r="BS83" s="696"/>
      <c r="BT83" s="697"/>
      <c r="BU83" s="163"/>
    </row>
    <row r="84" spans="2:73" ht="15.6">
      <c r="B84" s="691"/>
      <c r="C84" s="691"/>
      <c r="D84" s="691"/>
      <c r="E84" s="691"/>
      <c r="F84" s="691"/>
      <c r="G84" s="691"/>
      <c r="H84" s="691"/>
      <c r="I84" s="643"/>
      <c r="J84" s="643"/>
      <c r="K84" s="632"/>
      <c r="L84" s="695"/>
      <c r="M84" s="696"/>
      <c r="N84" s="696"/>
      <c r="O84" s="696"/>
      <c r="P84" s="696"/>
      <c r="Q84" s="696"/>
      <c r="R84" s="696"/>
      <c r="S84" s="696"/>
      <c r="T84" s="696"/>
      <c r="U84" s="696"/>
      <c r="V84" s="696"/>
      <c r="W84" s="696"/>
      <c r="X84" s="696"/>
      <c r="Y84" s="696"/>
      <c r="Z84" s="696"/>
      <c r="AA84" s="696"/>
      <c r="AB84" s="696"/>
      <c r="AC84" s="696"/>
      <c r="AD84" s="696"/>
      <c r="AE84" s="696"/>
      <c r="AF84" s="696"/>
      <c r="AG84" s="696"/>
      <c r="AH84" s="696"/>
      <c r="AI84" s="696"/>
      <c r="AJ84" s="696"/>
      <c r="AK84" s="696"/>
      <c r="AL84" s="696"/>
      <c r="AM84" s="696"/>
      <c r="AN84" s="696"/>
      <c r="AO84" s="697"/>
      <c r="AP84" s="632"/>
      <c r="AQ84" s="695"/>
      <c r="AR84" s="696"/>
      <c r="AS84" s="696"/>
      <c r="AT84" s="696"/>
      <c r="AU84" s="696"/>
      <c r="AV84" s="696"/>
      <c r="AW84" s="696"/>
      <c r="AX84" s="696"/>
      <c r="AY84" s="696"/>
      <c r="AZ84" s="696"/>
      <c r="BA84" s="696"/>
      <c r="BB84" s="696"/>
      <c r="BC84" s="696"/>
      <c r="BD84" s="696"/>
      <c r="BE84" s="696"/>
      <c r="BF84" s="696"/>
      <c r="BG84" s="696"/>
      <c r="BH84" s="696"/>
      <c r="BI84" s="696"/>
      <c r="BJ84" s="696"/>
      <c r="BK84" s="696"/>
      <c r="BL84" s="696"/>
      <c r="BM84" s="696"/>
      <c r="BN84" s="696"/>
      <c r="BO84" s="696"/>
      <c r="BP84" s="696"/>
      <c r="BQ84" s="696"/>
      <c r="BR84" s="696"/>
      <c r="BS84" s="696"/>
      <c r="BT84" s="697"/>
      <c r="BU84" s="163"/>
    </row>
    <row r="85" spans="2:73">
      <c r="B85" s="691"/>
      <c r="C85" s="691"/>
      <c r="D85" s="691"/>
      <c r="E85" s="691"/>
      <c r="F85" s="691"/>
      <c r="G85" s="691"/>
      <c r="H85" s="691"/>
      <c r="I85" s="643"/>
      <c r="J85" s="643"/>
      <c r="K85" s="632"/>
      <c r="L85" s="695"/>
      <c r="M85" s="696"/>
      <c r="N85" s="696"/>
      <c r="O85" s="696"/>
      <c r="P85" s="696"/>
      <c r="Q85" s="696"/>
      <c r="R85" s="696"/>
      <c r="S85" s="696"/>
      <c r="T85" s="696"/>
      <c r="U85" s="696"/>
      <c r="V85" s="696"/>
      <c r="W85" s="696"/>
      <c r="X85" s="696"/>
      <c r="Y85" s="696"/>
      <c r="Z85" s="696"/>
      <c r="AA85" s="696"/>
      <c r="AB85" s="696"/>
      <c r="AC85" s="696"/>
      <c r="AD85" s="696"/>
      <c r="AE85" s="696"/>
      <c r="AF85" s="696"/>
      <c r="AG85" s="696"/>
      <c r="AH85" s="696"/>
      <c r="AI85" s="696"/>
      <c r="AJ85" s="696"/>
      <c r="AK85" s="696"/>
      <c r="AL85" s="696"/>
      <c r="AM85" s="696"/>
      <c r="AN85" s="696"/>
      <c r="AO85" s="697"/>
      <c r="AP85" s="632"/>
      <c r="AQ85" s="695"/>
      <c r="AR85" s="696"/>
      <c r="AS85" s="696"/>
      <c r="AT85" s="696"/>
      <c r="AU85" s="696"/>
      <c r="AV85" s="696"/>
      <c r="AW85" s="696"/>
      <c r="AX85" s="696"/>
      <c r="AY85" s="696"/>
      <c r="AZ85" s="696"/>
      <c r="BA85" s="696"/>
      <c r="BB85" s="696"/>
      <c r="BC85" s="696"/>
      <c r="BD85" s="696"/>
      <c r="BE85" s="696"/>
      <c r="BF85" s="696"/>
      <c r="BG85" s="696"/>
      <c r="BH85" s="696"/>
      <c r="BI85" s="696"/>
      <c r="BJ85" s="696"/>
      <c r="BK85" s="696"/>
      <c r="BL85" s="696"/>
      <c r="BM85" s="696"/>
      <c r="BN85" s="696"/>
      <c r="BO85" s="696"/>
      <c r="BP85" s="696"/>
      <c r="BQ85" s="696"/>
      <c r="BR85" s="696"/>
      <c r="BS85" s="696"/>
      <c r="BT85" s="697"/>
    </row>
    <row r="86" spans="2:73">
      <c r="B86" s="691"/>
      <c r="C86" s="691"/>
      <c r="D86" s="691"/>
      <c r="E86" s="691"/>
      <c r="F86" s="691"/>
      <c r="G86" s="691"/>
      <c r="H86" s="691"/>
      <c r="I86" s="643"/>
      <c r="J86" s="643"/>
      <c r="K86" s="632"/>
      <c r="L86" s="695"/>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7"/>
      <c r="AP86" s="632"/>
      <c r="AQ86" s="695"/>
      <c r="AR86" s="696"/>
      <c r="AS86" s="696"/>
      <c r="AT86" s="696"/>
      <c r="AU86" s="696"/>
      <c r="AV86" s="696"/>
      <c r="AW86" s="696"/>
      <c r="AX86" s="696"/>
      <c r="AY86" s="696"/>
      <c r="AZ86" s="696"/>
      <c r="BA86" s="696"/>
      <c r="BB86" s="696"/>
      <c r="BC86" s="696"/>
      <c r="BD86" s="696"/>
      <c r="BE86" s="696"/>
      <c r="BF86" s="696"/>
      <c r="BG86" s="696"/>
      <c r="BH86" s="696"/>
      <c r="BI86" s="696"/>
      <c r="BJ86" s="696"/>
      <c r="BK86" s="696"/>
      <c r="BL86" s="696"/>
      <c r="BM86" s="696"/>
      <c r="BN86" s="696"/>
      <c r="BO86" s="696"/>
      <c r="BP86" s="696"/>
      <c r="BQ86" s="696"/>
      <c r="BR86" s="696"/>
      <c r="BS86" s="696"/>
      <c r="BT86" s="697"/>
    </row>
    <row r="87" spans="2:73">
      <c r="B87" s="691"/>
      <c r="C87" s="691"/>
      <c r="D87" s="691"/>
      <c r="E87" s="691"/>
      <c r="F87" s="691"/>
      <c r="G87" s="691"/>
      <c r="H87" s="691"/>
      <c r="I87" s="643"/>
      <c r="J87" s="643"/>
      <c r="K87" s="632"/>
      <c r="L87" s="695"/>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696"/>
      <c r="AK87" s="696"/>
      <c r="AL87" s="696"/>
      <c r="AM87" s="696"/>
      <c r="AN87" s="696"/>
      <c r="AO87" s="697"/>
      <c r="AP87" s="632"/>
      <c r="AQ87" s="695"/>
      <c r="AR87" s="696"/>
      <c r="AS87" s="696"/>
      <c r="AT87" s="696"/>
      <c r="AU87" s="696"/>
      <c r="AV87" s="696"/>
      <c r="AW87" s="696"/>
      <c r="AX87" s="696"/>
      <c r="AY87" s="696"/>
      <c r="AZ87" s="696"/>
      <c r="BA87" s="696"/>
      <c r="BB87" s="696"/>
      <c r="BC87" s="696"/>
      <c r="BD87" s="696"/>
      <c r="BE87" s="696"/>
      <c r="BF87" s="696"/>
      <c r="BG87" s="696"/>
      <c r="BH87" s="696"/>
      <c r="BI87" s="696"/>
      <c r="BJ87" s="696"/>
      <c r="BK87" s="696"/>
      <c r="BL87" s="696"/>
      <c r="BM87" s="696"/>
      <c r="BN87" s="696"/>
      <c r="BO87" s="696"/>
      <c r="BP87" s="696"/>
      <c r="BQ87" s="696"/>
      <c r="BR87" s="696"/>
      <c r="BS87" s="696"/>
      <c r="BT87" s="697"/>
    </row>
    <row r="88" spans="2:73">
      <c r="B88" s="691"/>
      <c r="C88" s="691"/>
      <c r="D88" s="691"/>
      <c r="E88" s="691"/>
      <c r="F88" s="691"/>
      <c r="G88" s="691"/>
      <c r="H88" s="691"/>
      <c r="I88" s="643"/>
      <c r="J88" s="643"/>
      <c r="K88" s="632"/>
      <c r="L88" s="695"/>
      <c r="M88" s="696"/>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696"/>
      <c r="AK88" s="696"/>
      <c r="AL88" s="696"/>
      <c r="AM88" s="696"/>
      <c r="AN88" s="696"/>
      <c r="AO88" s="697"/>
      <c r="AP88" s="632"/>
      <c r="AQ88" s="698"/>
      <c r="AR88" s="699"/>
      <c r="AS88" s="699"/>
      <c r="AT88" s="699"/>
      <c r="AU88" s="699"/>
      <c r="AV88" s="699"/>
      <c r="AW88" s="699"/>
      <c r="AX88" s="699"/>
      <c r="AY88" s="699"/>
      <c r="AZ88" s="699"/>
      <c r="BA88" s="699"/>
      <c r="BB88" s="699"/>
      <c r="BC88" s="699"/>
      <c r="BD88" s="699"/>
      <c r="BE88" s="699"/>
      <c r="BF88" s="699"/>
      <c r="BG88" s="699"/>
      <c r="BH88" s="699"/>
      <c r="BI88" s="699"/>
      <c r="BJ88" s="699"/>
      <c r="BK88" s="699"/>
      <c r="BL88" s="699"/>
      <c r="BM88" s="699"/>
      <c r="BN88" s="699"/>
      <c r="BO88" s="699"/>
      <c r="BP88" s="699"/>
      <c r="BQ88" s="699"/>
      <c r="BR88" s="699"/>
      <c r="BS88" s="699"/>
      <c r="BT88" s="700"/>
    </row>
    <row r="89" spans="2:73">
      <c r="B89" s="691"/>
      <c r="C89" s="691"/>
      <c r="D89" s="691"/>
      <c r="E89" s="691"/>
      <c r="F89" s="691"/>
      <c r="G89" s="691"/>
      <c r="H89" s="691"/>
      <c r="I89" s="643"/>
      <c r="J89" s="643"/>
      <c r="K89" s="632"/>
      <c r="L89" s="695"/>
      <c r="M89" s="696"/>
      <c r="N89" s="696"/>
      <c r="O89" s="696"/>
      <c r="P89" s="696"/>
      <c r="Q89" s="696"/>
      <c r="R89" s="696"/>
      <c r="S89" s="696"/>
      <c r="T89" s="696"/>
      <c r="U89" s="696"/>
      <c r="V89" s="696"/>
      <c r="W89" s="696"/>
      <c r="X89" s="696"/>
      <c r="Y89" s="696"/>
      <c r="Z89" s="696"/>
      <c r="AA89" s="696"/>
      <c r="AB89" s="696"/>
      <c r="AC89" s="696"/>
      <c r="AD89" s="696"/>
      <c r="AE89" s="696"/>
      <c r="AF89" s="696"/>
      <c r="AG89" s="696"/>
      <c r="AH89" s="696"/>
      <c r="AI89" s="696"/>
      <c r="AJ89" s="696"/>
      <c r="AK89" s="696"/>
      <c r="AL89" s="696"/>
      <c r="AM89" s="696"/>
      <c r="AN89" s="696"/>
      <c r="AO89" s="697"/>
      <c r="AP89" s="632"/>
      <c r="AQ89" s="692"/>
      <c r="AR89" s="693"/>
      <c r="AS89" s="693"/>
      <c r="AT89" s="693"/>
      <c r="AU89" s="693"/>
      <c r="AV89" s="693"/>
      <c r="AW89" s="693"/>
      <c r="AX89" s="693"/>
      <c r="AY89" s="693"/>
      <c r="AZ89" s="693"/>
      <c r="BA89" s="693"/>
      <c r="BB89" s="693"/>
      <c r="BC89" s="693"/>
      <c r="BD89" s="693"/>
      <c r="BE89" s="693"/>
      <c r="BF89" s="693"/>
      <c r="BG89" s="693"/>
      <c r="BH89" s="693"/>
      <c r="BI89" s="693"/>
      <c r="BJ89" s="693"/>
      <c r="BK89" s="693"/>
      <c r="BL89" s="693"/>
      <c r="BM89" s="693"/>
      <c r="BN89" s="693"/>
      <c r="BO89" s="693"/>
      <c r="BP89" s="693"/>
      <c r="BQ89" s="693"/>
      <c r="BR89" s="693"/>
      <c r="BS89" s="693"/>
      <c r="BT89" s="694"/>
    </row>
    <row r="90" spans="2:73">
      <c r="B90" s="691"/>
      <c r="C90" s="691"/>
      <c r="D90" s="691"/>
      <c r="E90" s="691"/>
      <c r="F90" s="691"/>
      <c r="G90" s="691"/>
      <c r="H90" s="691"/>
      <c r="I90" s="643"/>
      <c r="J90" s="643"/>
      <c r="K90" s="632"/>
      <c r="L90" s="695"/>
      <c r="M90" s="696"/>
      <c r="N90" s="696"/>
      <c r="O90" s="696"/>
      <c r="P90" s="696"/>
      <c r="Q90" s="696"/>
      <c r="R90" s="696"/>
      <c r="S90" s="696"/>
      <c r="T90" s="696"/>
      <c r="U90" s="696"/>
      <c r="V90" s="696"/>
      <c r="W90" s="696"/>
      <c r="X90" s="696"/>
      <c r="Y90" s="696"/>
      <c r="Z90" s="696"/>
      <c r="AA90" s="696"/>
      <c r="AB90" s="696"/>
      <c r="AC90" s="696"/>
      <c r="AD90" s="696"/>
      <c r="AE90" s="696"/>
      <c r="AF90" s="696"/>
      <c r="AG90" s="696"/>
      <c r="AH90" s="696"/>
      <c r="AI90" s="696"/>
      <c r="AJ90" s="696"/>
      <c r="AK90" s="696"/>
      <c r="AL90" s="696"/>
      <c r="AM90" s="696"/>
      <c r="AN90" s="696"/>
      <c r="AO90" s="697"/>
      <c r="AP90" s="632"/>
      <c r="AQ90" s="695"/>
      <c r="AR90" s="696"/>
      <c r="AS90" s="696"/>
      <c r="AT90" s="696"/>
      <c r="AU90" s="696"/>
      <c r="AV90" s="696"/>
      <c r="AW90" s="696"/>
      <c r="AX90" s="696"/>
      <c r="AY90" s="696"/>
      <c r="AZ90" s="696"/>
      <c r="BA90" s="696"/>
      <c r="BB90" s="696"/>
      <c r="BC90" s="696"/>
      <c r="BD90" s="696"/>
      <c r="BE90" s="696"/>
      <c r="BF90" s="696"/>
      <c r="BG90" s="696"/>
      <c r="BH90" s="696"/>
      <c r="BI90" s="696"/>
      <c r="BJ90" s="696"/>
      <c r="BK90" s="696"/>
      <c r="BL90" s="696"/>
      <c r="BM90" s="696"/>
      <c r="BN90" s="696"/>
      <c r="BO90" s="696"/>
      <c r="BP90" s="696"/>
      <c r="BQ90" s="696"/>
      <c r="BR90" s="696"/>
      <c r="BS90" s="696"/>
      <c r="BT90" s="697"/>
    </row>
    <row r="91" spans="2:73">
      <c r="B91" s="691"/>
      <c r="C91" s="691"/>
      <c r="D91" s="691"/>
      <c r="E91" s="691"/>
      <c r="F91" s="691"/>
      <c r="G91" s="691"/>
      <c r="H91" s="691"/>
      <c r="I91" s="643"/>
      <c r="J91" s="643"/>
      <c r="K91" s="632"/>
      <c r="L91" s="695"/>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696"/>
      <c r="AL91" s="696"/>
      <c r="AM91" s="696"/>
      <c r="AN91" s="696"/>
      <c r="AO91" s="697"/>
      <c r="AP91" s="632"/>
      <c r="AQ91" s="695"/>
      <c r="AR91" s="696"/>
      <c r="AS91" s="696"/>
      <c r="AT91" s="696"/>
      <c r="AU91" s="696"/>
      <c r="AV91" s="696"/>
      <c r="AW91" s="696"/>
      <c r="AX91" s="696"/>
      <c r="AY91" s="696"/>
      <c r="AZ91" s="696"/>
      <c r="BA91" s="696"/>
      <c r="BB91" s="696"/>
      <c r="BC91" s="696"/>
      <c r="BD91" s="696"/>
      <c r="BE91" s="696"/>
      <c r="BF91" s="696"/>
      <c r="BG91" s="696"/>
      <c r="BH91" s="696"/>
      <c r="BI91" s="696"/>
      <c r="BJ91" s="696"/>
      <c r="BK91" s="696"/>
      <c r="BL91" s="696"/>
      <c r="BM91" s="696"/>
      <c r="BN91" s="696"/>
      <c r="BO91" s="696"/>
      <c r="BP91" s="696"/>
      <c r="BQ91" s="696"/>
      <c r="BR91" s="696"/>
      <c r="BS91" s="696"/>
      <c r="BT91" s="697"/>
    </row>
    <row r="92" spans="2:73">
      <c r="B92" s="691"/>
      <c r="C92" s="691"/>
      <c r="D92" s="691"/>
      <c r="E92" s="691"/>
      <c r="F92" s="691"/>
      <c r="G92" s="691"/>
      <c r="H92" s="691"/>
      <c r="I92" s="643"/>
      <c r="J92" s="643"/>
      <c r="K92" s="632"/>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2"/>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c r="E93" s="691"/>
      <c r="F93" s="691"/>
      <c r="G93" s="691"/>
      <c r="H93" s="691"/>
      <c r="I93" s="643"/>
      <c r="J93" s="643"/>
      <c r="K93" s="632"/>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2"/>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3"/>
      <c r="J94" s="643"/>
      <c r="K94" s="632"/>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2"/>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3"/>
      <c r="J95" s="643"/>
      <c r="K95" s="632"/>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2"/>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3"/>
      <c r="J96" s="643"/>
      <c r="K96" s="632"/>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2"/>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3"/>
      <c r="J97" s="643"/>
      <c r="K97" s="632"/>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2"/>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ht="15.6">
      <c r="B98" s="691"/>
      <c r="C98" s="691"/>
      <c r="D98" s="691"/>
      <c r="E98" s="691"/>
      <c r="F98" s="691"/>
      <c r="G98" s="691"/>
      <c r="H98" s="691"/>
      <c r="I98" s="643"/>
      <c r="J98" s="643"/>
      <c r="K98" s="632"/>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2"/>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c r="BU98" s="163"/>
    </row>
    <row r="99" spans="2:73" ht="15.6">
      <c r="B99" s="691"/>
      <c r="C99" s="691"/>
      <c r="D99" s="691"/>
      <c r="E99" s="691"/>
      <c r="F99" s="691"/>
      <c r="G99" s="691"/>
      <c r="H99" s="691"/>
      <c r="I99" s="643"/>
      <c r="J99" s="643"/>
      <c r="K99" s="632"/>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2"/>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3"/>
    </row>
    <row r="100" spans="2:73" ht="15.6">
      <c r="B100" s="691"/>
      <c r="C100" s="691"/>
      <c r="D100" s="691"/>
      <c r="E100" s="691"/>
      <c r="F100" s="691"/>
      <c r="G100" s="691"/>
      <c r="H100" s="691"/>
      <c r="I100" s="643"/>
      <c r="J100" s="643"/>
      <c r="K100" s="632"/>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2"/>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3"/>
    </row>
    <row r="101" spans="2:73">
      <c r="B101" s="691"/>
      <c r="C101" s="691"/>
      <c r="D101" s="691"/>
      <c r="E101" s="691"/>
      <c r="F101" s="691"/>
      <c r="G101" s="691"/>
      <c r="H101" s="691"/>
      <c r="I101" s="643"/>
      <c r="J101" s="643"/>
      <c r="K101" s="632"/>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2"/>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row>
    <row r="102" spans="2:73" ht="15.6">
      <c r="B102" s="691"/>
      <c r="C102" s="691"/>
      <c r="D102" s="691"/>
      <c r="E102" s="691"/>
      <c r="F102" s="691"/>
      <c r="G102" s="691"/>
      <c r="H102" s="691"/>
      <c r="I102" s="643"/>
      <c r="J102" s="643"/>
      <c r="K102" s="632"/>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2"/>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c r="BU102" s="163"/>
    </row>
    <row r="103" spans="2:73" ht="15.6">
      <c r="B103" s="691"/>
      <c r="C103" s="691"/>
      <c r="D103" s="691"/>
      <c r="E103" s="691"/>
      <c r="F103" s="691"/>
      <c r="G103" s="691"/>
      <c r="H103" s="691"/>
      <c r="I103" s="643"/>
      <c r="J103" s="643"/>
      <c r="K103" s="632"/>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2"/>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3"/>
    </row>
    <row r="104" spans="2:73" ht="15.6">
      <c r="B104" s="691"/>
      <c r="C104" s="691"/>
      <c r="D104" s="691"/>
      <c r="E104" s="691"/>
      <c r="F104" s="691"/>
      <c r="G104" s="691"/>
      <c r="H104" s="691"/>
      <c r="I104" s="643"/>
      <c r="J104" s="643"/>
      <c r="K104" s="632"/>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2"/>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3"/>
    </row>
    <row r="105" spans="2:73" ht="15.6">
      <c r="B105" s="691"/>
      <c r="C105" s="691"/>
      <c r="D105" s="691"/>
      <c r="E105" s="691"/>
      <c r="F105" s="691"/>
      <c r="G105" s="691"/>
      <c r="H105" s="691"/>
      <c r="I105" s="643"/>
      <c r="J105" s="643"/>
      <c r="K105" s="632"/>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2"/>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3"/>
    </row>
    <row r="106" spans="2:73" ht="15.6">
      <c r="B106" s="691"/>
      <c r="C106" s="691"/>
      <c r="D106" s="691"/>
      <c r="E106" s="691"/>
      <c r="F106" s="691"/>
      <c r="G106" s="691"/>
      <c r="H106" s="691"/>
      <c r="I106" s="643"/>
      <c r="J106" s="643"/>
      <c r="K106" s="632"/>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2"/>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3"/>
    </row>
    <row r="107" spans="2:73" ht="15.6">
      <c r="B107" s="691"/>
      <c r="C107" s="691"/>
      <c r="D107" s="691"/>
      <c r="E107" s="691"/>
      <c r="F107" s="691"/>
      <c r="G107" s="691"/>
      <c r="H107" s="691"/>
      <c r="I107" s="643"/>
      <c r="J107" s="643"/>
      <c r="K107" s="632"/>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2"/>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3"/>
    </row>
    <row r="108" spans="2:73" ht="15.6">
      <c r="B108" s="691"/>
      <c r="C108" s="691"/>
      <c r="D108" s="691"/>
      <c r="E108" s="691"/>
      <c r="F108" s="691"/>
      <c r="G108" s="691"/>
      <c r="H108" s="691"/>
      <c r="I108" s="643"/>
      <c r="J108" s="643"/>
      <c r="K108" s="632"/>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2"/>
      <c r="AQ108" s="692"/>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693"/>
      <c r="BP108" s="693"/>
      <c r="BQ108" s="693"/>
      <c r="BR108" s="693"/>
      <c r="BS108" s="693"/>
      <c r="BT108" s="694"/>
      <c r="BU108" s="163"/>
    </row>
    <row r="109" spans="2:73" ht="15.6">
      <c r="B109" s="691"/>
      <c r="C109" s="691"/>
      <c r="D109" s="691"/>
      <c r="E109" s="691"/>
      <c r="F109" s="691"/>
      <c r="G109" s="691"/>
      <c r="H109" s="691"/>
      <c r="I109" s="643"/>
      <c r="J109" s="643"/>
      <c r="K109" s="632"/>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2"/>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3"/>
    </row>
    <row r="110" spans="2:73" ht="15.6">
      <c r="B110" s="691"/>
      <c r="C110" s="691"/>
      <c r="D110" s="691"/>
      <c r="E110" s="691"/>
      <c r="F110" s="691"/>
      <c r="G110" s="691"/>
      <c r="H110" s="691"/>
      <c r="I110" s="643"/>
      <c r="J110" s="643"/>
      <c r="K110" s="632"/>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2"/>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3"/>
    </row>
    <row r="111" spans="2:73" ht="15.6">
      <c r="B111" s="691"/>
      <c r="C111" s="691"/>
      <c r="D111" s="691"/>
      <c r="E111" s="691"/>
      <c r="F111" s="691"/>
      <c r="G111" s="691"/>
      <c r="H111" s="691"/>
      <c r="I111" s="643"/>
      <c r="J111" s="643"/>
      <c r="K111" s="632"/>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2"/>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3"/>
    </row>
    <row r="112" spans="2:73">
      <c r="B112" s="691"/>
      <c r="C112" s="691"/>
      <c r="D112" s="691"/>
      <c r="E112" s="691"/>
      <c r="F112" s="691"/>
      <c r="G112" s="691"/>
      <c r="H112" s="691"/>
      <c r="I112" s="643"/>
      <c r="J112" s="643"/>
      <c r="K112" s="632"/>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2"/>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3"/>
      <c r="J113" s="643"/>
      <c r="K113" s="632"/>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2"/>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3"/>
      <c r="J114" s="643"/>
      <c r="K114" s="632"/>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2"/>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6">
      <c r="B115" s="691"/>
      <c r="C115" s="691"/>
      <c r="D115" s="691"/>
      <c r="E115" s="691"/>
      <c r="F115" s="691"/>
      <c r="G115" s="691"/>
      <c r="H115" s="691"/>
      <c r="I115" s="643"/>
      <c r="J115" s="643"/>
      <c r="K115" s="632"/>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2"/>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3"/>
    </row>
    <row r="116" spans="2:73" ht="15.6">
      <c r="B116" s="691"/>
      <c r="C116" s="691"/>
      <c r="D116" s="691"/>
      <c r="E116" s="691"/>
      <c r="F116" s="691"/>
      <c r="G116" s="691"/>
      <c r="H116" s="691"/>
      <c r="I116" s="643"/>
      <c r="J116" s="643"/>
      <c r="K116" s="632"/>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2"/>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3"/>
    </row>
    <row r="117" spans="2:73" ht="15.6">
      <c r="B117" s="691"/>
      <c r="C117" s="691"/>
      <c r="D117" s="691"/>
      <c r="E117" s="691"/>
      <c r="F117" s="691"/>
      <c r="G117" s="691"/>
      <c r="H117" s="691"/>
      <c r="I117" s="643"/>
      <c r="J117" s="643"/>
      <c r="K117" s="632"/>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2"/>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3"/>
    </row>
    <row r="118" spans="2:73" ht="15.6">
      <c r="B118" s="691"/>
      <c r="C118" s="691"/>
      <c r="D118" s="691"/>
      <c r="E118" s="691"/>
      <c r="F118" s="691"/>
      <c r="G118" s="691"/>
      <c r="H118" s="691"/>
      <c r="I118" s="643"/>
      <c r="J118" s="643"/>
      <c r="K118" s="632"/>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2"/>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3"/>
    </row>
    <row r="119" spans="2:73" ht="15.6">
      <c r="B119" s="691"/>
      <c r="C119" s="691"/>
      <c r="D119" s="691"/>
      <c r="E119" s="691"/>
      <c r="F119" s="691"/>
      <c r="G119" s="691"/>
      <c r="H119" s="691"/>
      <c r="I119" s="643"/>
      <c r="J119" s="643"/>
      <c r="K119" s="632"/>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2"/>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3"/>
    </row>
    <row r="120" spans="2:73">
      <c r="B120" s="691"/>
      <c r="C120" s="691"/>
      <c r="D120" s="691"/>
      <c r="E120" s="691"/>
      <c r="F120" s="691"/>
      <c r="G120" s="691"/>
      <c r="H120" s="691"/>
      <c r="I120" s="643"/>
      <c r="J120" s="643"/>
      <c r="K120" s="632"/>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2"/>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6">
      <c r="B121" s="691"/>
      <c r="C121" s="691"/>
      <c r="D121" s="691"/>
      <c r="E121" s="691"/>
      <c r="F121" s="691"/>
      <c r="G121" s="691"/>
      <c r="H121" s="691"/>
      <c r="I121" s="643"/>
      <c r="J121" s="643"/>
      <c r="K121" s="632"/>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2"/>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3"/>
    </row>
    <row r="122" spans="2:73" ht="15.6">
      <c r="B122" s="691"/>
      <c r="C122" s="691"/>
      <c r="D122" s="691"/>
      <c r="E122" s="691"/>
      <c r="F122" s="691"/>
      <c r="G122" s="691"/>
      <c r="H122" s="691"/>
      <c r="I122" s="643"/>
      <c r="J122" s="643"/>
      <c r="K122" s="632"/>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2"/>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3"/>
    </row>
  </sheetData>
  <autoFilter ref="C26:BT50" xr:uid="{00000000-0009-0000-0000-00000C000000}">
    <sortState xmlns:xlrd2="http://schemas.microsoft.com/office/spreadsheetml/2017/richdata2" ref="C26:BT42">
      <sortCondition ref="H25"/>
    </sortState>
  </autoFilter>
  <mergeCells count="1">
    <mergeCell ref="C24:G24"/>
  </mergeCells>
  <conditionalFormatting sqref="AQ51:BT71 L58:AO69 AQ37:AT43 AQ44:AV50 L28:O57 AN46:AO57">
    <cfRule type="cellIs" dxfId="20" priority="29" operator="equal">
      <formula>0</formula>
    </cfRule>
  </conditionalFormatting>
  <conditionalFormatting sqref="L110:AO122 AQ108:BT122">
    <cfRule type="cellIs" dxfId="19" priority="26" operator="equal">
      <formula>0</formula>
    </cfRule>
  </conditionalFormatting>
  <conditionalFormatting sqref="L74:AO86 AQ72:BT88">
    <cfRule type="cellIs" dxfId="18" priority="28" operator="equal">
      <formula>0</formula>
    </cfRule>
  </conditionalFormatting>
  <conditionalFormatting sqref="L91:AO105 AQ89:BT107">
    <cfRule type="cellIs" dxfId="17" priority="27" operator="equal">
      <formula>0</formula>
    </cfRule>
  </conditionalFormatting>
  <conditionalFormatting sqref="L28:O32">
    <cfRule type="cellIs" dxfId="16" priority="25" operator="equal">
      <formula>0</formula>
    </cfRule>
  </conditionalFormatting>
  <conditionalFormatting sqref="L33:O43 AQ41:AT43">
    <cfRule type="cellIs" dxfId="15" priority="24" operator="equal">
      <formula>0</formula>
    </cfRule>
  </conditionalFormatting>
  <conditionalFormatting sqref="L70:AO73">
    <cfRule type="cellIs" dxfId="14" priority="23" operator="equal">
      <formula>0</formula>
    </cfRule>
  </conditionalFormatting>
  <conditionalFormatting sqref="L87:AO90">
    <cfRule type="cellIs" dxfId="13" priority="22" operator="equal">
      <formula>0</formula>
    </cfRule>
  </conditionalFormatting>
  <conditionalFormatting sqref="L106:AO109">
    <cfRule type="cellIs" dxfId="12" priority="21" operator="equal">
      <formula>0</formula>
    </cfRule>
  </conditionalFormatting>
  <conditionalFormatting sqref="AQ28:AT28">
    <cfRule type="cellIs" dxfId="11" priority="20" operator="equal">
      <formula>0</formula>
    </cfRule>
  </conditionalFormatting>
  <conditionalFormatting sqref="AQ29:AT40">
    <cfRule type="cellIs" dxfId="10" priority="18" operator="equal">
      <formula>0</formula>
    </cfRule>
  </conditionalFormatting>
  <conditionalFormatting sqref="AU28:BT43">
    <cfRule type="cellIs" dxfId="9" priority="10" operator="equal">
      <formula>0</formula>
    </cfRule>
  </conditionalFormatting>
  <conditionalFormatting sqref="AW44:BT50">
    <cfRule type="cellIs" dxfId="8" priority="9" operator="equal">
      <formula>0</formula>
    </cfRule>
  </conditionalFormatting>
  <conditionalFormatting sqref="L27:O27">
    <cfRule type="cellIs" dxfId="7" priority="8" operator="equal">
      <formula>0</formula>
    </cfRule>
  </conditionalFormatting>
  <conditionalFormatting sqref="L27:O27">
    <cfRule type="cellIs" dxfId="6" priority="7" operator="equal">
      <formula>0</formula>
    </cfRule>
  </conditionalFormatting>
  <conditionalFormatting sqref="AQ27:AT27">
    <cfRule type="cellIs" dxfId="5" priority="6" operator="equal">
      <formula>0</formula>
    </cfRule>
  </conditionalFormatting>
  <conditionalFormatting sqref="AU27:BT27">
    <cfRule type="cellIs" dxfId="4" priority="5" operator="equal">
      <formula>0</formula>
    </cfRule>
  </conditionalFormatting>
  <conditionalFormatting sqref="P27:AM57">
    <cfRule type="cellIs" dxfId="3" priority="4" operator="equal">
      <formula>0</formula>
    </cfRule>
  </conditionalFormatting>
  <conditionalFormatting sqref="P27:AM57">
    <cfRule type="cellIs" dxfId="2" priority="3" operator="equal">
      <formula>0</formula>
    </cfRule>
  </conditionalFormatting>
  <conditionalFormatting sqref="AN27:AO45">
    <cfRule type="cellIs" dxfId="1" priority="2" operator="equal">
      <formula>0</formula>
    </cfRule>
  </conditionalFormatting>
  <conditionalFormatting sqref="AN27:AO45">
    <cfRule type="cellIs" dxfId="0" priority="1" operator="equal">
      <formula>0</formula>
    </cfRule>
  </conditionalFormatting>
  <pageMargins left="0.7" right="0.7" top="0.75" bottom="0.75" header="0.3" footer="0.3"/>
  <pageSetup paperSize="5" scale="19"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2:U49"/>
  <sheetViews>
    <sheetView topLeftCell="A26" zoomScale="90" zoomScaleNormal="90" workbookViewId="0">
      <selection activeCell="F51" sqref="F51"/>
    </sheetView>
  </sheetViews>
  <sheetFormatPr defaultColWidth="9.109375" defaultRowHeight="14.4"/>
  <cols>
    <col min="1" max="1" width="9.109375" style="12"/>
    <col min="2" max="2" width="10.109375" style="12" customWidth="1"/>
    <col min="3" max="3" width="11.33203125" style="12" customWidth="1"/>
    <col min="4" max="4" width="13.33203125" style="12" customWidth="1"/>
    <col min="5" max="5" width="12.6640625" style="12" customWidth="1"/>
    <col min="6" max="6" width="12" style="12" customWidth="1"/>
    <col min="7" max="7" width="9.109375" style="12"/>
    <col min="8" max="8" width="24.5546875" style="12" customWidth="1"/>
    <col min="9" max="9" width="11.109375" style="12" customWidth="1"/>
    <col min="10" max="10" width="9.109375" style="12"/>
    <col min="11" max="11" width="11.5546875" style="12" customWidth="1"/>
    <col min="12" max="12" width="9.109375" style="12"/>
    <col min="13" max="13" width="26" style="12" customWidth="1"/>
    <col min="14" max="14" width="9.88671875" style="12" customWidth="1"/>
    <col min="15" max="15" width="9.109375" style="12"/>
    <col min="16" max="16" width="9.6640625" style="12" customWidth="1"/>
    <col min="17" max="16384" width="9.109375" style="12"/>
  </cols>
  <sheetData>
    <row r="12" spans="1:17" ht="24" customHeight="1" thickBot="1"/>
    <row r="13" spans="1:17" s="9" customFormat="1" ht="23.4" customHeight="1" thickBot="1">
      <c r="A13" s="587"/>
      <c r="B13" s="587" t="s">
        <v>171</v>
      </c>
      <c r="D13" s="126" t="s">
        <v>175</v>
      </c>
      <c r="E13" s="744"/>
      <c r="F13" s="177"/>
      <c r="G13" s="178"/>
      <c r="H13" s="179"/>
      <c r="K13" s="179"/>
      <c r="L13" s="177"/>
      <c r="M13" s="177"/>
      <c r="N13" s="177"/>
      <c r="O13" s="177"/>
      <c r="P13" s="177"/>
      <c r="Q13" s="180"/>
    </row>
    <row r="14" spans="1:17" s="9" customFormat="1" ht="15.75" customHeight="1">
      <c r="B14" s="550"/>
      <c r="D14" s="17"/>
      <c r="E14" s="17"/>
      <c r="F14" s="177"/>
      <c r="G14" s="178"/>
      <c r="H14" s="179"/>
      <c r="K14" s="179"/>
      <c r="L14" s="177"/>
      <c r="M14" s="177"/>
      <c r="N14" s="177"/>
      <c r="O14" s="177"/>
      <c r="P14" s="177"/>
      <c r="Q14" s="180"/>
    </row>
    <row r="15" spans="1:17" ht="15.6">
      <c r="B15" s="587" t="s">
        <v>505</v>
      </c>
    </row>
    <row r="16" spans="1:17" ht="15.6">
      <c r="B16" s="587"/>
    </row>
    <row r="17" spans="2:21" s="667" customFormat="1" ht="20.399999999999999" customHeight="1">
      <c r="B17" s="665" t="s">
        <v>663</v>
      </c>
      <c r="C17" s="666"/>
      <c r="D17" s="666"/>
      <c r="E17" s="666"/>
      <c r="F17" s="666"/>
      <c r="G17" s="666"/>
      <c r="H17" s="666"/>
      <c r="I17" s="666"/>
      <c r="J17" s="666"/>
      <c r="K17" s="666"/>
      <c r="L17" s="666"/>
      <c r="M17" s="666"/>
      <c r="N17" s="666"/>
      <c r="O17" s="666"/>
      <c r="P17" s="666"/>
      <c r="Q17" s="666"/>
      <c r="R17" s="666"/>
      <c r="S17" s="666"/>
      <c r="T17" s="666"/>
      <c r="U17" s="666"/>
    </row>
    <row r="18" spans="2:21" ht="60" customHeight="1">
      <c r="B18" s="895" t="s">
        <v>715</v>
      </c>
      <c r="C18" s="895"/>
      <c r="D18" s="895"/>
      <c r="E18" s="895"/>
      <c r="F18" s="895"/>
      <c r="G18" s="895"/>
      <c r="H18" s="895"/>
      <c r="I18" s="895"/>
      <c r="J18" s="895"/>
      <c r="K18" s="895"/>
      <c r="L18" s="895"/>
      <c r="M18" s="895"/>
      <c r="N18" s="895"/>
      <c r="O18" s="895"/>
      <c r="P18" s="895"/>
      <c r="Q18" s="895"/>
      <c r="R18" s="895"/>
      <c r="S18" s="895"/>
      <c r="T18" s="895"/>
      <c r="U18" s="895"/>
    </row>
    <row r="21" spans="2:21" ht="21">
      <c r="B21" s="742" t="s">
        <v>777</v>
      </c>
    </row>
    <row r="23" spans="2:21" ht="21">
      <c r="B23" s="742" t="s">
        <v>700</v>
      </c>
      <c r="C23" s="743"/>
      <c r="E23" s="743"/>
      <c r="F23" s="743"/>
      <c r="H23" s="742" t="s">
        <v>701</v>
      </c>
    </row>
    <row r="24" spans="2:21" ht="18.75" customHeight="1">
      <c r="B24" s="894" t="s">
        <v>679</v>
      </c>
      <c r="C24" s="894"/>
      <c r="D24" s="894"/>
      <c r="E24" s="894"/>
      <c r="F24" s="894"/>
      <c r="H24" s="12" t="s">
        <v>687</v>
      </c>
      <c r="M24" s="12" t="s">
        <v>688</v>
      </c>
    </row>
    <row r="25" spans="2:21" ht="43.2">
      <c r="B25" s="739" t="s">
        <v>62</v>
      </c>
      <c r="C25" s="739" t="s">
        <v>680</v>
      </c>
      <c r="D25" s="739" t="s">
        <v>681</v>
      </c>
      <c r="E25" s="739" t="s">
        <v>683</v>
      </c>
      <c r="F25" s="739" t="s">
        <v>682</v>
      </c>
      <c r="H25" s="739" t="s">
        <v>684</v>
      </c>
      <c r="I25" s="739" t="s">
        <v>685</v>
      </c>
      <c r="J25" s="739" t="s">
        <v>686</v>
      </c>
      <c r="K25" s="739" t="s">
        <v>680</v>
      </c>
      <c r="M25" s="739" t="s">
        <v>684</v>
      </c>
      <c r="N25" s="739" t="s">
        <v>685</v>
      </c>
      <c r="O25" s="739" t="s">
        <v>686</v>
      </c>
      <c r="P25" s="739" t="s">
        <v>680</v>
      </c>
    </row>
    <row r="26" spans="2:21" ht="15.6">
      <c r="B26" s="746"/>
      <c r="C26" s="746" t="s">
        <v>690</v>
      </c>
      <c r="D26" s="746" t="s">
        <v>691</v>
      </c>
      <c r="E26" s="746" t="s">
        <v>692</v>
      </c>
      <c r="F26" s="746" t="s">
        <v>693</v>
      </c>
      <c r="H26" s="746"/>
      <c r="I26" s="746" t="s">
        <v>694</v>
      </c>
      <c r="J26" s="746" t="s">
        <v>695</v>
      </c>
      <c r="K26" s="746" t="s">
        <v>696</v>
      </c>
      <c r="M26" s="746"/>
      <c r="N26" s="746" t="s">
        <v>697</v>
      </c>
      <c r="O26" s="746" t="s">
        <v>698</v>
      </c>
      <c r="P26" s="746" t="s">
        <v>699</v>
      </c>
    </row>
    <row r="27" spans="2:21" ht="15.75" customHeight="1">
      <c r="B27" s="741" t="s">
        <v>703</v>
      </c>
      <c r="C27" s="749">
        <f>K49</f>
        <v>272550</v>
      </c>
      <c r="D27" s="747"/>
      <c r="E27" s="740"/>
      <c r="F27" s="740"/>
      <c r="H27" s="818" t="s">
        <v>778</v>
      </c>
      <c r="I27" s="740">
        <v>115</v>
      </c>
      <c r="J27" s="740">
        <v>6</v>
      </c>
      <c r="K27" s="740">
        <f>I27*J27</f>
        <v>690</v>
      </c>
      <c r="M27" s="740" t="s">
        <v>785</v>
      </c>
      <c r="N27" s="740">
        <v>53</v>
      </c>
      <c r="O27" s="740">
        <v>103</v>
      </c>
      <c r="P27" s="740">
        <f>N27*O27</f>
        <v>5459</v>
      </c>
    </row>
    <row r="28" spans="2:21" ht="15.75" customHeight="1">
      <c r="B28" s="741" t="s">
        <v>704</v>
      </c>
      <c r="C28" s="750">
        <f>P49</f>
        <v>77274.600000000006</v>
      </c>
      <c r="D28" s="751">
        <f>C28-C27</f>
        <v>-195275.4</v>
      </c>
      <c r="E28" s="740"/>
      <c r="F28" s="748">
        <f>D28*E28</f>
        <v>0</v>
      </c>
      <c r="H28" s="818" t="s">
        <v>779</v>
      </c>
      <c r="I28" s="740">
        <v>130</v>
      </c>
      <c r="J28" s="740">
        <v>6</v>
      </c>
      <c r="K28" s="818">
        <f t="shared" ref="K28:K33" si="0">I28*J28</f>
        <v>780</v>
      </c>
      <c r="M28" s="818" t="s">
        <v>785</v>
      </c>
      <c r="N28" s="740">
        <v>57.6</v>
      </c>
      <c r="O28" s="740">
        <v>86</v>
      </c>
      <c r="P28" s="818">
        <f t="shared" ref="P28:P29" si="1">N28*O28</f>
        <v>4953.6000000000004</v>
      </c>
    </row>
    <row r="29" spans="2:21" ht="15.75" customHeight="1">
      <c r="B29" s="741" t="s">
        <v>705</v>
      </c>
      <c r="C29" s="740"/>
      <c r="D29" s="740"/>
      <c r="E29" s="740"/>
      <c r="F29" s="740"/>
      <c r="H29" s="818" t="s">
        <v>780</v>
      </c>
      <c r="I29" s="740">
        <v>185</v>
      </c>
      <c r="J29" s="740">
        <v>97</v>
      </c>
      <c r="K29" s="818">
        <f t="shared" si="0"/>
        <v>17945</v>
      </c>
      <c r="M29" s="818" t="s">
        <v>785</v>
      </c>
      <c r="N29" s="740">
        <v>101</v>
      </c>
      <c r="O29" s="740">
        <v>662</v>
      </c>
      <c r="P29" s="818">
        <f t="shared" si="1"/>
        <v>66862</v>
      </c>
    </row>
    <row r="30" spans="2:21" ht="15.75" customHeight="1">
      <c r="B30" s="741" t="s">
        <v>706</v>
      </c>
      <c r="C30" s="740"/>
      <c r="D30" s="740"/>
      <c r="E30" s="740"/>
      <c r="F30" s="740"/>
      <c r="H30" s="818" t="s">
        <v>781</v>
      </c>
      <c r="I30" s="740">
        <v>185</v>
      </c>
      <c r="J30" s="740">
        <v>162</v>
      </c>
      <c r="K30" s="818">
        <f t="shared" si="0"/>
        <v>29970</v>
      </c>
      <c r="M30" s="818"/>
      <c r="N30" s="740"/>
      <c r="O30" s="740"/>
      <c r="P30" s="740"/>
    </row>
    <row r="31" spans="2:21" ht="15.75" customHeight="1">
      <c r="B31" s="741" t="s">
        <v>707</v>
      </c>
      <c r="C31" s="740"/>
      <c r="D31" s="740"/>
      <c r="E31" s="740"/>
      <c r="F31" s="740"/>
      <c r="H31" s="818" t="s">
        <v>782</v>
      </c>
      <c r="I31" s="740">
        <v>185</v>
      </c>
      <c r="J31" s="740">
        <v>37</v>
      </c>
      <c r="K31" s="818">
        <f t="shared" si="0"/>
        <v>6845</v>
      </c>
      <c r="M31" s="740"/>
      <c r="N31" s="740"/>
      <c r="O31" s="740"/>
      <c r="P31" s="740"/>
    </row>
    <row r="32" spans="2:21" ht="15.75" customHeight="1">
      <c r="B32" s="741" t="s">
        <v>708</v>
      </c>
      <c r="C32" s="740"/>
      <c r="D32" s="740"/>
      <c r="E32" s="740"/>
      <c r="F32" s="740"/>
      <c r="H32" s="818" t="s">
        <v>783</v>
      </c>
      <c r="I32" s="740">
        <v>185</v>
      </c>
      <c r="J32" s="740">
        <v>60</v>
      </c>
      <c r="K32" s="818">
        <f t="shared" si="0"/>
        <v>11100</v>
      </c>
      <c r="M32" s="740"/>
      <c r="N32" s="740"/>
      <c r="O32" s="740"/>
      <c r="P32" s="740"/>
    </row>
    <row r="33" spans="2:16" ht="15.75" customHeight="1">
      <c r="B33" s="741" t="s">
        <v>709</v>
      </c>
      <c r="C33" s="740"/>
      <c r="D33" s="740"/>
      <c r="E33" s="740"/>
      <c r="F33" s="740"/>
      <c r="H33" s="818" t="s">
        <v>784</v>
      </c>
      <c r="I33" s="740">
        <v>310</v>
      </c>
      <c r="J33" s="740">
        <v>662</v>
      </c>
      <c r="K33" s="818">
        <f t="shared" si="0"/>
        <v>205220</v>
      </c>
      <c r="M33" s="740"/>
      <c r="N33" s="740"/>
      <c r="O33" s="740"/>
      <c r="P33" s="740"/>
    </row>
    <row r="34" spans="2:16" ht="15.75" customHeight="1">
      <c r="B34" s="741" t="s">
        <v>710</v>
      </c>
      <c r="C34" s="740"/>
      <c r="D34" s="740"/>
      <c r="E34" s="740"/>
      <c r="F34" s="740"/>
      <c r="H34" s="740"/>
      <c r="I34" s="740"/>
      <c r="J34" s="740"/>
      <c r="K34" s="740"/>
      <c r="M34" s="740"/>
      <c r="N34" s="740"/>
      <c r="O34" s="740"/>
      <c r="P34" s="740"/>
    </row>
    <row r="35" spans="2:16" ht="15.75" customHeight="1">
      <c r="B35" s="741" t="s">
        <v>711</v>
      </c>
      <c r="C35" s="740"/>
      <c r="D35" s="740"/>
      <c r="E35" s="740"/>
      <c r="F35" s="740"/>
      <c r="H35" s="740"/>
      <c r="I35" s="740"/>
      <c r="J35" s="740"/>
      <c r="K35" s="740"/>
      <c r="M35" s="740"/>
      <c r="N35" s="740"/>
      <c r="O35" s="740"/>
      <c r="P35" s="740"/>
    </row>
    <row r="36" spans="2:16" ht="15.75" customHeight="1">
      <c r="B36" s="741" t="s">
        <v>712</v>
      </c>
      <c r="C36" s="740"/>
      <c r="D36" s="740"/>
      <c r="E36" s="740"/>
      <c r="F36" s="740"/>
      <c r="H36" s="740"/>
      <c r="I36" s="740"/>
      <c r="J36" s="740"/>
      <c r="K36" s="740"/>
      <c r="M36" s="740"/>
      <c r="N36" s="740"/>
      <c r="O36" s="740"/>
      <c r="P36" s="740"/>
    </row>
    <row r="37" spans="2:16" ht="15.75" customHeight="1">
      <c r="B37" s="741" t="s">
        <v>713</v>
      </c>
      <c r="C37" s="740"/>
      <c r="D37" s="740"/>
      <c r="E37" s="740"/>
      <c r="F37" s="740"/>
      <c r="H37" s="740"/>
      <c r="I37" s="740"/>
      <c r="J37" s="740"/>
      <c r="K37" s="740"/>
      <c r="M37" s="740"/>
      <c r="N37" s="740"/>
      <c r="O37" s="740"/>
      <c r="P37" s="740"/>
    </row>
    <row r="38" spans="2:16" ht="15.75" customHeight="1">
      <c r="B38" s="741" t="s">
        <v>714</v>
      </c>
      <c r="C38" s="740"/>
      <c r="D38" s="740"/>
      <c r="E38" s="740"/>
      <c r="F38" s="740"/>
      <c r="H38" s="740"/>
      <c r="I38" s="740"/>
      <c r="J38" s="740"/>
      <c r="K38" s="740"/>
      <c r="M38" s="740"/>
      <c r="N38" s="740"/>
      <c r="O38" s="740"/>
      <c r="P38" s="740"/>
    </row>
    <row r="39" spans="2:16" ht="16.2" customHeight="1">
      <c r="B39" s="752" t="s">
        <v>26</v>
      </c>
      <c r="C39" s="753"/>
      <c r="D39" s="753"/>
      <c r="E39" s="753"/>
      <c r="F39" s="754">
        <f>SUM(F28:F38)</f>
        <v>0</v>
      </c>
      <c r="H39" s="740"/>
      <c r="I39" s="740"/>
      <c r="J39" s="740"/>
      <c r="K39" s="740"/>
      <c r="M39" s="740"/>
      <c r="N39" s="740"/>
      <c r="O39" s="740"/>
      <c r="P39" s="740"/>
    </row>
    <row r="40" spans="2:16">
      <c r="B40" s="741" t="s">
        <v>702</v>
      </c>
      <c r="C40" s="740"/>
      <c r="D40" s="740"/>
      <c r="E40" s="740"/>
      <c r="F40" s="740"/>
      <c r="H40" s="740"/>
      <c r="I40" s="740"/>
      <c r="J40" s="740"/>
      <c r="K40" s="740"/>
      <c r="M40" s="740"/>
      <c r="N40" s="740"/>
      <c r="O40" s="740"/>
      <c r="P40" s="740"/>
    </row>
    <row r="41" spans="2:16">
      <c r="B41" s="741" t="s">
        <v>702</v>
      </c>
      <c r="C41" s="740"/>
      <c r="D41" s="740"/>
      <c r="E41" s="740"/>
      <c r="F41" s="740"/>
      <c r="H41" s="740"/>
      <c r="I41" s="740"/>
      <c r="J41" s="740"/>
      <c r="K41" s="740"/>
      <c r="M41" s="740"/>
      <c r="N41" s="740"/>
      <c r="O41" s="740"/>
      <c r="P41" s="740"/>
    </row>
    <row r="42" spans="2:16">
      <c r="B42" s="741" t="s">
        <v>702</v>
      </c>
      <c r="C42" s="740"/>
      <c r="D42" s="740"/>
      <c r="E42" s="740"/>
      <c r="F42" s="740"/>
      <c r="H42" s="740"/>
      <c r="I42" s="740"/>
      <c r="J42" s="740"/>
      <c r="K42" s="740"/>
      <c r="M42" s="740"/>
      <c r="N42" s="740"/>
      <c r="O42" s="740"/>
      <c r="P42" s="740"/>
    </row>
    <row r="43" spans="2:16">
      <c r="B43" s="741" t="s">
        <v>702</v>
      </c>
      <c r="C43" s="740"/>
      <c r="D43" s="740"/>
      <c r="E43" s="740"/>
      <c r="F43" s="740"/>
      <c r="H43" s="740"/>
      <c r="I43" s="740"/>
      <c r="J43" s="740"/>
      <c r="K43" s="740"/>
      <c r="M43" s="740"/>
      <c r="N43" s="740"/>
      <c r="O43" s="740"/>
      <c r="P43" s="740"/>
    </row>
    <row r="44" spans="2:16">
      <c r="H44" s="740"/>
      <c r="I44" s="740"/>
      <c r="J44" s="740"/>
      <c r="K44" s="740"/>
      <c r="M44" s="740"/>
      <c r="N44" s="740"/>
      <c r="O44" s="740"/>
      <c r="P44" s="740"/>
    </row>
    <row r="45" spans="2:16">
      <c r="H45" s="740"/>
      <c r="I45" s="740"/>
      <c r="J45" s="740"/>
      <c r="K45" s="740"/>
      <c r="M45" s="740"/>
      <c r="N45" s="740"/>
      <c r="O45" s="740"/>
      <c r="P45" s="740"/>
    </row>
    <row r="46" spans="2:16">
      <c r="H46" s="740"/>
      <c r="I46" s="740"/>
      <c r="J46" s="740"/>
      <c r="K46" s="740"/>
      <c r="M46" s="740"/>
      <c r="N46" s="740"/>
      <c r="O46" s="740"/>
      <c r="P46" s="740"/>
    </row>
    <row r="47" spans="2:16">
      <c r="H47" s="740"/>
      <c r="I47" s="740"/>
      <c r="J47" s="740"/>
      <c r="K47" s="740"/>
      <c r="M47" s="740"/>
      <c r="N47" s="740"/>
      <c r="O47" s="740"/>
      <c r="P47" s="740"/>
    </row>
    <row r="48" spans="2:16">
      <c r="H48" s="740"/>
      <c r="I48" s="740"/>
      <c r="J48" s="740"/>
      <c r="K48" s="740"/>
      <c r="M48" s="740"/>
      <c r="N48" s="740"/>
      <c r="O48" s="740"/>
      <c r="P48" s="740"/>
    </row>
    <row r="49" spans="8:16">
      <c r="H49" s="752" t="s">
        <v>26</v>
      </c>
      <c r="I49" s="753"/>
      <c r="J49" s="753"/>
      <c r="K49" s="749">
        <f>SUM(K27:K48)</f>
        <v>272550</v>
      </c>
      <c r="M49" s="752" t="s">
        <v>26</v>
      </c>
      <c r="N49" s="753"/>
      <c r="O49" s="753"/>
      <c r="P49" s="750">
        <f>SUM(P27:P48)</f>
        <v>77274.600000000006</v>
      </c>
    </row>
  </sheetData>
  <mergeCells count="2">
    <mergeCell ref="B24:F24"/>
    <mergeCell ref="B18:U18"/>
  </mergeCells>
  <pageMargins left="0.7" right="0.7" top="0.75" bottom="0.75" header="0.3" footer="0.3"/>
  <pageSetup scale="3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56" activePane="bottomLeft" state="frozen"/>
      <selection pane="bottomLeft" activeCell="B21" sqref="B21"/>
    </sheetView>
  </sheetViews>
  <sheetFormatPr defaultColWidth="9.109375" defaultRowHeight="14.4"/>
  <cols>
    <col min="1" max="1" width="9.109375" style="12"/>
    <col min="2" max="2" width="36.88671875" style="703" customWidth="1"/>
    <col min="3" max="3" width="9.109375" style="10"/>
    <col min="4" max="16384" width="9.109375" style="12"/>
  </cols>
  <sheetData>
    <row r="16" spans="2:21" ht="26.25" customHeight="1">
      <c r="B16" s="704" t="s">
        <v>562</v>
      </c>
      <c r="C16" s="834" t="s">
        <v>505</v>
      </c>
      <c r="D16" s="835"/>
      <c r="E16" s="835"/>
      <c r="F16" s="835"/>
      <c r="G16" s="835"/>
      <c r="H16" s="835"/>
      <c r="I16" s="835"/>
      <c r="J16" s="835"/>
      <c r="K16" s="835"/>
      <c r="L16" s="835"/>
      <c r="M16" s="835"/>
      <c r="N16" s="835"/>
      <c r="O16" s="835"/>
      <c r="P16" s="835"/>
      <c r="Q16" s="835"/>
      <c r="R16" s="835"/>
      <c r="S16" s="835"/>
      <c r="T16" s="835"/>
      <c r="U16" s="835"/>
    </row>
    <row r="17" spans="2:21" ht="55.5" customHeight="1">
      <c r="B17" s="705" t="s">
        <v>633</v>
      </c>
      <c r="C17" s="836" t="s">
        <v>738</v>
      </c>
      <c r="D17" s="836"/>
      <c r="E17" s="836"/>
      <c r="F17" s="836"/>
      <c r="G17" s="836"/>
      <c r="H17" s="836"/>
      <c r="I17" s="836"/>
      <c r="J17" s="836"/>
      <c r="K17" s="836"/>
      <c r="L17" s="836"/>
      <c r="M17" s="836"/>
      <c r="N17" s="836"/>
      <c r="O17" s="836"/>
      <c r="P17" s="836"/>
      <c r="Q17" s="836"/>
      <c r="R17" s="836"/>
      <c r="S17" s="836"/>
      <c r="T17" s="836"/>
      <c r="U17" s="837"/>
    </row>
    <row r="18" spans="2:21" ht="15.6">
      <c r="B18" s="706"/>
      <c r="C18" s="707"/>
      <c r="D18" s="708"/>
      <c r="E18" s="708"/>
      <c r="F18" s="708"/>
      <c r="G18" s="708"/>
      <c r="H18" s="708"/>
      <c r="I18" s="708"/>
      <c r="J18" s="708"/>
      <c r="K18" s="708"/>
      <c r="L18" s="708"/>
      <c r="M18" s="708"/>
      <c r="N18" s="708"/>
      <c r="O18" s="708"/>
      <c r="P18" s="708"/>
      <c r="Q18" s="708"/>
      <c r="R18" s="708"/>
      <c r="S18" s="708"/>
      <c r="T18" s="708"/>
      <c r="U18" s="709"/>
    </row>
    <row r="19" spans="2:21" ht="15.6">
      <c r="B19" s="706"/>
      <c r="C19" s="707" t="s">
        <v>637</v>
      </c>
      <c r="D19" s="708"/>
      <c r="E19" s="708"/>
      <c r="F19" s="708"/>
      <c r="G19" s="708"/>
      <c r="H19" s="708"/>
      <c r="I19" s="708"/>
      <c r="J19" s="708"/>
      <c r="K19" s="708"/>
      <c r="L19" s="708"/>
      <c r="M19" s="708"/>
      <c r="N19" s="708"/>
      <c r="O19" s="708"/>
      <c r="P19" s="708"/>
      <c r="Q19" s="708"/>
      <c r="R19" s="708"/>
      <c r="S19" s="708"/>
      <c r="T19" s="708"/>
      <c r="U19" s="709"/>
    </row>
    <row r="20" spans="2:21" ht="15.6">
      <c r="B20" s="706"/>
      <c r="C20" s="707"/>
      <c r="D20" s="708"/>
      <c r="E20" s="708"/>
      <c r="F20" s="708"/>
      <c r="G20" s="708"/>
      <c r="H20" s="708"/>
      <c r="I20" s="708"/>
      <c r="J20" s="708"/>
      <c r="K20" s="708"/>
      <c r="L20" s="708"/>
      <c r="M20" s="708"/>
      <c r="N20" s="708"/>
      <c r="O20" s="708"/>
      <c r="P20" s="708"/>
      <c r="Q20" s="708"/>
      <c r="R20" s="708"/>
      <c r="S20" s="708"/>
      <c r="T20" s="708"/>
      <c r="U20" s="709"/>
    </row>
    <row r="21" spans="2:21" ht="15.6">
      <c r="B21" s="706"/>
      <c r="C21" s="707" t="s">
        <v>634</v>
      </c>
      <c r="D21" s="708"/>
      <c r="E21" s="708"/>
      <c r="F21" s="708"/>
      <c r="G21" s="708"/>
      <c r="H21" s="708"/>
      <c r="I21" s="708"/>
      <c r="J21" s="708"/>
      <c r="K21" s="708"/>
      <c r="L21" s="708"/>
      <c r="M21" s="708"/>
      <c r="N21" s="708"/>
      <c r="O21" s="708"/>
      <c r="P21" s="708"/>
      <c r="Q21" s="708"/>
      <c r="R21" s="708"/>
      <c r="S21" s="708"/>
      <c r="T21" s="708"/>
      <c r="U21" s="709"/>
    </row>
    <row r="22" spans="2:21" ht="15.6">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830" t="s">
        <v>635</v>
      </c>
      <c r="D23" s="830"/>
      <c r="E23" s="830"/>
      <c r="F23" s="830"/>
      <c r="G23" s="830"/>
      <c r="H23" s="830"/>
      <c r="I23" s="830"/>
      <c r="J23" s="830"/>
      <c r="K23" s="830"/>
      <c r="L23" s="830"/>
      <c r="M23" s="830"/>
      <c r="N23" s="830"/>
      <c r="O23" s="830"/>
      <c r="P23" s="830"/>
      <c r="Q23" s="830"/>
      <c r="R23" s="830"/>
      <c r="S23" s="830"/>
      <c r="T23" s="708"/>
      <c r="U23" s="709"/>
    </row>
    <row r="24" spans="2:21" ht="15.6">
      <c r="B24" s="706"/>
      <c r="C24" s="707"/>
      <c r="D24" s="708"/>
      <c r="E24" s="708"/>
      <c r="F24" s="708"/>
      <c r="G24" s="708"/>
      <c r="H24" s="708"/>
      <c r="I24" s="708"/>
      <c r="J24" s="708"/>
      <c r="K24" s="708"/>
      <c r="L24" s="708"/>
      <c r="M24" s="708"/>
      <c r="N24" s="708"/>
      <c r="O24" s="708"/>
      <c r="P24" s="708"/>
      <c r="Q24" s="708"/>
      <c r="R24" s="708"/>
      <c r="S24" s="708"/>
      <c r="T24" s="708"/>
      <c r="U24" s="709"/>
    </row>
    <row r="25" spans="2:21" ht="15.6">
      <c r="B25" s="706"/>
      <c r="C25" s="707" t="s">
        <v>638</v>
      </c>
      <c r="D25" s="708"/>
      <c r="E25" s="708"/>
      <c r="F25" s="708"/>
      <c r="G25" s="708"/>
      <c r="H25" s="708"/>
      <c r="I25" s="708"/>
      <c r="J25" s="708"/>
      <c r="K25" s="708"/>
      <c r="L25" s="708"/>
      <c r="M25" s="708"/>
      <c r="N25" s="708"/>
      <c r="O25" s="708"/>
      <c r="P25" s="708"/>
      <c r="Q25" s="708"/>
      <c r="R25" s="708"/>
      <c r="S25" s="708"/>
      <c r="T25" s="708"/>
      <c r="U25" s="709"/>
    </row>
    <row r="26" spans="2:21" ht="15.6">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830" t="s">
        <v>636</v>
      </c>
      <c r="D27" s="830"/>
      <c r="E27" s="830"/>
      <c r="F27" s="830"/>
      <c r="G27" s="830"/>
      <c r="H27" s="830"/>
      <c r="I27" s="830"/>
      <c r="J27" s="830"/>
      <c r="K27" s="830"/>
      <c r="L27" s="830"/>
      <c r="M27" s="830"/>
      <c r="N27" s="830"/>
      <c r="O27" s="830"/>
      <c r="P27" s="830"/>
      <c r="Q27" s="830"/>
      <c r="R27" s="830"/>
      <c r="S27" s="830"/>
      <c r="T27" s="830"/>
      <c r="U27" s="831"/>
    </row>
    <row r="28" spans="2:21" ht="15.6">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830" t="s">
        <v>639</v>
      </c>
      <c r="D29" s="830"/>
      <c r="E29" s="830"/>
      <c r="F29" s="830"/>
      <c r="G29" s="830"/>
      <c r="H29" s="830"/>
      <c r="I29" s="830"/>
      <c r="J29" s="830"/>
      <c r="K29" s="830"/>
      <c r="L29" s="830"/>
      <c r="M29" s="830"/>
      <c r="N29" s="830"/>
      <c r="O29" s="830"/>
      <c r="P29" s="830"/>
      <c r="Q29" s="830"/>
      <c r="R29" s="830"/>
      <c r="S29" s="830"/>
      <c r="T29" s="830"/>
      <c r="U29" s="831"/>
    </row>
    <row r="30" spans="2:21" ht="15.6">
      <c r="B30" s="706"/>
      <c r="C30" s="707"/>
      <c r="D30" s="708"/>
      <c r="E30" s="708"/>
      <c r="F30" s="708"/>
      <c r="G30" s="708"/>
      <c r="H30" s="708"/>
      <c r="I30" s="708"/>
      <c r="J30" s="708"/>
      <c r="K30" s="708"/>
      <c r="L30" s="708"/>
      <c r="M30" s="708"/>
      <c r="N30" s="708"/>
      <c r="O30" s="708"/>
      <c r="P30" s="708"/>
      <c r="Q30" s="708"/>
      <c r="R30" s="708"/>
      <c r="S30" s="708"/>
      <c r="T30" s="708"/>
      <c r="U30" s="709"/>
    </row>
    <row r="31" spans="2:21" ht="15.6">
      <c r="B31" s="706"/>
      <c r="C31" s="707" t="s">
        <v>640</v>
      </c>
      <c r="D31" s="708"/>
      <c r="E31" s="708"/>
      <c r="F31" s="708"/>
      <c r="G31" s="708"/>
      <c r="H31" s="708"/>
      <c r="I31" s="708"/>
      <c r="J31" s="708"/>
      <c r="K31" s="708"/>
      <c r="L31" s="708"/>
      <c r="M31" s="708"/>
      <c r="N31" s="708"/>
      <c r="O31" s="708"/>
      <c r="P31" s="708"/>
      <c r="Q31" s="708"/>
      <c r="R31" s="708"/>
      <c r="S31" s="708"/>
      <c r="T31" s="708"/>
      <c r="U31" s="709"/>
    </row>
    <row r="32" spans="2:21" ht="15.6">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641</v>
      </c>
      <c r="C33" s="838" t="s">
        <v>642</v>
      </c>
      <c r="D33" s="838"/>
      <c r="E33" s="838"/>
      <c r="F33" s="838"/>
      <c r="G33" s="838"/>
      <c r="H33" s="838"/>
      <c r="I33" s="838"/>
      <c r="J33" s="838"/>
      <c r="K33" s="838"/>
      <c r="L33" s="838"/>
      <c r="M33" s="838"/>
      <c r="N33" s="838"/>
      <c r="O33" s="838"/>
      <c r="P33" s="838"/>
      <c r="Q33" s="838"/>
      <c r="R33" s="838"/>
      <c r="S33" s="838"/>
      <c r="T33" s="838"/>
      <c r="U33" s="839"/>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6">
      <c r="B35" s="718" t="s">
        <v>643</v>
      </c>
      <c r="C35" s="719" t="s">
        <v>644</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645</v>
      </c>
      <c r="C37" s="832" t="s">
        <v>646</v>
      </c>
      <c r="D37" s="832"/>
      <c r="E37" s="832"/>
      <c r="F37" s="832"/>
      <c r="G37" s="832"/>
      <c r="H37" s="832"/>
      <c r="I37" s="832"/>
      <c r="J37" s="832"/>
      <c r="K37" s="832"/>
      <c r="L37" s="832"/>
      <c r="M37" s="832"/>
      <c r="N37" s="832"/>
      <c r="O37" s="832"/>
      <c r="P37" s="832"/>
      <c r="Q37" s="832"/>
      <c r="R37" s="832"/>
      <c r="S37" s="832"/>
      <c r="T37" s="832"/>
      <c r="U37" s="833"/>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6">
      <c r="B39" s="705" t="s">
        <v>647</v>
      </c>
      <c r="C39" s="721" t="s">
        <v>648</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649</v>
      </c>
      <c r="C41" s="840" t="s">
        <v>650</v>
      </c>
      <c r="D41" s="840"/>
      <c r="E41" s="840"/>
      <c r="F41" s="840"/>
      <c r="G41" s="840"/>
      <c r="H41" s="840"/>
      <c r="I41" s="840"/>
      <c r="J41" s="840"/>
      <c r="K41" s="840"/>
      <c r="L41" s="840"/>
      <c r="M41" s="840"/>
      <c r="N41" s="840"/>
      <c r="O41" s="840"/>
      <c r="P41" s="840"/>
      <c r="Q41" s="840"/>
      <c r="R41" s="840"/>
      <c r="S41" s="840"/>
      <c r="T41" s="840"/>
      <c r="U41" s="841"/>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6">
      <c r="B43" s="718" t="s">
        <v>651</v>
      </c>
      <c r="C43" s="719" t="s">
        <v>652</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828" t="s">
        <v>668</v>
      </c>
      <c r="D45" s="828"/>
      <c r="E45" s="828"/>
      <c r="F45" s="828"/>
      <c r="G45" s="828"/>
      <c r="H45" s="828"/>
      <c r="I45" s="828"/>
      <c r="J45" s="828"/>
      <c r="K45" s="828"/>
      <c r="L45" s="828"/>
      <c r="M45" s="828"/>
      <c r="N45" s="828"/>
      <c r="O45" s="828"/>
      <c r="P45" s="828"/>
      <c r="Q45" s="828"/>
      <c r="R45" s="828"/>
      <c r="S45" s="828"/>
      <c r="T45" s="828"/>
      <c r="U45" s="829"/>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828" t="s">
        <v>653</v>
      </c>
      <c r="D47" s="828"/>
      <c r="E47" s="828"/>
      <c r="F47" s="828"/>
      <c r="G47" s="828"/>
      <c r="H47" s="828"/>
      <c r="I47" s="828"/>
      <c r="J47" s="828"/>
      <c r="K47" s="828"/>
      <c r="L47" s="828"/>
      <c r="M47" s="828"/>
      <c r="N47" s="828"/>
      <c r="O47" s="828"/>
      <c r="P47" s="828"/>
      <c r="Q47" s="828"/>
      <c r="R47" s="828"/>
      <c r="S47" s="828"/>
      <c r="T47" s="828"/>
      <c r="U47" s="829"/>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828" t="s">
        <v>654</v>
      </c>
      <c r="D49" s="828"/>
      <c r="E49" s="828"/>
      <c r="F49" s="828"/>
      <c r="G49" s="828"/>
      <c r="H49" s="828"/>
      <c r="I49" s="828"/>
      <c r="J49" s="828"/>
      <c r="K49" s="828"/>
      <c r="L49" s="828"/>
      <c r="M49" s="828"/>
      <c r="N49" s="828"/>
      <c r="O49" s="828"/>
      <c r="P49" s="828"/>
      <c r="Q49" s="828"/>
      <c r="R49" s="828"/>
      <c r="S49" s="828"/>
      <c r="T49" s="828"/>
      <c r="U49" s="829"/>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828" t="s">
        <v>655</v>
      </c>
      <c r="D51" s="828"/>
      <c r="E51" s="828"/>
      <c r="F51" s="828"/>
      <c r="G51" s="828"/>
      <c r="H51" s="828"/>
      <c r="I51" s="828"/>
      <c r="J51" s="828"/>
      <c r="K51" s="828"/>
      <c r="L51" s="828"/>
      <c r="M51" s="828"/>
      <c r="N51" s="828"/>
      <c r="O51" s="828"/>
      <c r="P51" s="828"/>
      <c r="Q51" s="828"/>
      <c r="R51" s="828"/>
      <c r="S51" s="828"/>
      <c r="T51" s="828"/>
      <c r="U51" s="829"/>
    </row>
    <row r="52" spans="2:21" ht="15.6">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830" t="s">
        <v>667</v>
      </c>
      <c r="D53" s="830"/>
      <c r="E53" s="830"/>
      <c r="F53" s="830"/>
      <c r="G53" s="830"/>
      <c r="H53" s="830"/>
      <c r="I53" s="830"/>
      <c r="J53" s="830"/>
      <c r="K53" s="830"/>
      <c r="L53" s="830"/>
      <c r="M53" s="830"/>
      <c r="N53" s="830"/>
      <c r="O53" s="830"/>
      <c r="P53" s="830"/>
      <c r="Q53" s="830"/>
      <c r="R53" s="830"/>
      <c r="S53" s="830"/>
      <c r="T53" s="830"/>
      <c r="U53" s="831"/>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656</v>
      </c>
      <c r="C55" s="832" t="s">
        <v>657</v>
      </c>
      <c r="D55" s="832"/>
      <c r="E55" s="832"/>
      <c r="F55" s="832"/>
      <c r="G55" s="832"/>
      <c r="H55" s="832"/>
      <c r="I55" s="832"/>
      <c r="J55" s="832"/>
      <c r="K55" s="832"/>
      <c r="L55" s="832"/>
      <c r="M55" s="832"/>
      <c r="N55" s="832"/>
      <c r="O55" s="832"/>
      <c r="P55" s="832"/>
      <c r="Q55" s="832"/>
      <c r="R55" s="832"/>
      <c r="S55" s="832"/>
      <c r="T55" s="832"/>
      <c r="U55" s="833"/>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658</v>
      </c>
      <c r="C57" s="832" t="s">
        <v>659</v>
      </c>
      <c r="D57" s="832"/>
      <c r="E57" s="832"/>
      <c r="F57" s="832"/>
      <c r="G57" s="832"/>
      <c r="H57" s="832"/>
      <c r="I57" s="832"/>
      <c r="J57" s="832"/>
      <c r="K57" s="832"/>
      <c r="L57" s="832"/>
      <c r="M57" s="832"/>
      <c r="N57" s="832"/>
      <c r="O57" s="832"/>
      <c r="P57" s="832"/>
      <c r="Q57" s="832"/>
      <c r="R57" s="832"/>
      <c r="S57" s="832"/>
      <c r="T57" s="832"/>
      <c r="U57" s="833"/>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660</v>
      </c>
      <c r="C59" s="726" t="s">
        <v>661</v>
      </c>
      <c r="D59" s="727"/>
      <c r="E59" s="727"/>
      <c r="F59" s="727"/>
      <c r="G59" s="727"/>
      <c r="H59" s="727"/>
      <c r="I59" s="727"/>
      <c r="J59" s="727"/>
      <c r="K59" s="727"/>
      <c r="L59" s="727"/>
      <c r="M59" s="727"/>
      <c r="N59" s="727"/>
      <c r="O59" s="727"/>
      <c r="P59" s="727"/>
      <c r="Q59" s="727"/>
      <c r="R59" s="727"/>
      <c r="S59" s="727"/>
      <c r="T59" s="727"/>
      <c r="U59" s="728"/>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C15" sqref="C15"/>
    </sheetView>
  </sheetViews>
  <sheetFormatPr defaultColWidth="9.109375" defaultRowHeight="15.6"/>
  <cols>
    <col min="1" max="1" width="3.109375" style="12" customWidth="1"/>
    <col min="2" max="2" width="61.5546875" style="10" customWidth="1"/>
    <col min="3" max="3" width="58.5546875" style="12" customWidth="1"/>
    <col min="4" max="4" width="62.5546875" style="12" customWidth="1"/>
    <col min="5" max="5" width="42" style="12" customWidth="1"/>
    <col min="6" max="6" width="44.33203125" style="12" customWidth="1"/>
    <col min="7" max="7" width="9.109375" style="16"/>
    <col min="8" max="10" width="9.109375" style="12"/>
    <col min="11" max="11" width="26.109375" style="12" customWidth="1"/>
    <col min="12" max="12" width="59.88671875" style="17" customWidth="1"/>
    <col min="13" max="13" width="14.5546875" style="25" customWidth="1"/>
    <col min="14" max="14" width="29.5546875" style="17" customWidth="1"/>
    <col min="15" max="16384" width="9.109375" style="12"/>
  </cols>
  <sheetData>
    <row r="1" spans="2:20" ht="146.25" customHeight="1"/>
    <row r="3" spans="2:20" ht="25.5" customHeight="1">
      <c r="B3" s="843" t="s">
        <v>733</v>
      </c>
      <c r="C3" s="844"/>
      <c r="D3" s="844"/>
      <c r="E3" s="844"/>
      <c r="F3" s="845"/>
      <c r="G3" s="122"/>
    </row>
    <row r="4" spans="2:20" ht="16.5" customHeight="1">
      <c r="B4" s="846"/>
      <c r="C4" s="847"/>
      <c r="D4" s="847"/>
      <c r="E4" s="847"/>
      <c r="F4" s="848"/>
      <c r="G4" s="122"/>
    </row>
    <row r="5" spans="2:20" ht="71.25" customHeight="1">
      <c r="B5" s="846"/>
      <c r="C5" s="847"/>
      <c r="D5" s="847"/>
      <c r="E5" s="847"/>
      <c r="F5" s="848"/>
      <c r="G5" s="122"/>
    </row>
    <row r="6" spans="2:20" ht="21.75" customHeight="1">
      <c r="B6" s="849"/>
      <c r="C6" s="850"/>
      <c r="D6" s="850"/>
      <c r="E6" s="850"/>
      <c r="F6" s="851"/>
      <c r="G6" s="122"/>
    </row>
    <row r="8" spans="2:20" ht="21">
      <c r="B8" s="842" t="s">
        <v>481</v>
      </c>
      <c r="C8" s="842"/>
      <c r="D8" s="842"/>
      <c r="E8" s="842"/>
      <c r="F8" s="842"/>
      <c r="G8" s="842"/>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587</v>
      </c>
      <c r="G12" s="28"/>
      <c r="L12" s="33"/>
      <c r="M12" s="33"/>
      <c r="N12" s="33"/>
      <c r="O12" s="33"/>
      <c r="P12" s="33"/>
      <c r="Q12" s="68"/>
      <c r="S12" s="8"/>
      <c r="T12" s="8"/>
    </row>
    <row r="13" spans="2:20" s="9" customFormat="1" ht="26.25" customHeight="1" thickBot="1">
      <c r="B13" s="102" t="s">
        <v>418</v>
      </c>
      <c r="C13" s="124" t="s">
        <v>626</v>
      </c>
      <c r="G13" s="109"/>
      <c r="L13" s="33"/>
      <c r="M13" s="33"/>
      <c r="N13" s="33"/>
      <c r="O13" s="33"/>
      <c r="P13" s="33"/>
      <c r="Q13" s="68"/>
      <c r="S13" s="8"/>
      <c r="T13" s="8"/>
    </row>
    <row r="14" spans="2:20" s="9" customFormat="1" ht="26.25" customHeight="1" thickBot="1">
      <c r="B14" s="102"/>
      <c r="C14" s="172" t="s">
        <v>621</v>
      </c>
      <c r="G14" s="123"/>
      <c r="L14" s="33"/>
      <c r="M14" s="33"/>
      <c r="N14" s="33"/>
      <c r="O14" s="33"/>
      <c r="P14" s="33"/>
      <c r="Q14" s="68"/>
      <c r="S14" s="8"/>
      <c r="T14" s="8"/>
    </row>
    <row r="15" spans="2:20" s="9" customFormat="1" ht="26.25" customHeight="1" thickBot="1">
      <c r="B15" s="102"/>
      <c r="C15" s="172" t="s">
        <v>622</v>
      </c>
      <c r="G15" s="123"/>
      <c r="L15" s="33"/>
      <c r="M15" s="33"/>
      <c r="N15" s="33"/>
      <c r="O15" s="33"/>
      <c r="P15" s="33"/>
      <c r="Q15" s="68"/>
      <c r="S15" s="8"/>
      <c r="T15" s="8"/>
    </row>
    <row r="16" spans="2:20" s="9" customFormat="1" ht="26.25" customHeight="1" thickBot="1">
      <c r="B16" s="102"/>
      <c r="C16" s="172" t="s">
        <v>623</v>
      </c>
      <c r="G16" s="123"/>
      <c r="L16" s="33"/>
      <c r="M16" s="33"/>
      <c r="N16" s="33"/>
      <c r="O16" s="33"/>
      <c r="P16" s="33"/>
      <c r="Q16" s="68"/>
      <c r="S16" s="8"/>
      <c r="T16" s="8"/>
    </row>
    <row r="17" spans="2:20" s="9" customFormat="1" ht="26.25" customHeight="1" thickBot="1">
      <c r="B17" s="102"/>
      <c r="C17" s="124" t="s">
        <v>624</v>
      </c>
      <c r="G17" s="109"/>
      <c r="L17" s="33"/>
      <c r="M17" s="33"/>
      <c r="N17" s="33"/>
      <c r="O17" s="33"/>
      <c r="P17" s="33"/>
      <c r="Q17" s="68"/>
      <c r="S17" s="8"/>
      <c r="T17" s="8"/>
    </row>
    <row r="18" spans="2:20" s="9" customFormat="1" ht="26.25" customHeight="1" thickBot="1">
      <c r="B18" s="102"/>
      <c r="C18" s="124" t="s">
        <v>625</v>
      </c>
      <c r="G18" s="123"/>
      <c r="L18" s="33"/>
      <c r="M18" s="33"/>
      <c r="N18" s="33"/>
      <c r="O18" s="33"/>
      <c r="P18" s="33"/>
      <c r="Q18" s="68"/>
      <c r="S18" s="8"/>
      <c r="T18" s="8"/>
    </row>
    <row r="19" spans="2:20" s="9" customFormat="1" ht="26.25" customHeight="1" thickBot="1">
      <c r="B19" s="102"/>
      <c r="C19" s="124" t="s">
        <v>627</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541</v>
      </c>
      <c r="C21" s="243" t="s">
        <v>471</v>
      </c>
      <c r="D21" s="243" t="s">
        <v>447</v>
      </c>
      <c r="E21" s="243" t="s">
        <v>439</v>
      </c>
      <c r="F21" s="243" t="s">
        <v>554</v>
      </c>
      <c r="G21" s="40"/>
      <c r="M21" s="25"/>
      <c r="T21" s="25"/>
    </row>
    <row r="22" spans="2:20" s="103" customFormat="1" ht="36" customHeight="1">
      <c r="B22" s="646" t="s">
        <v>544</v>
      </c>
      <c r="C22" s="652" t="s">
        <v>437</v>
      </c>
      <c r="D22" s="655" t="s">
        <v>443</v>
      </c>
      <c r="E22" s="659" t="s">
        <v>586</v>
      </c>
      <c r="F22" s="655" t="s">
        <v>448</v>
      </c>
      <c r="G22" s="174"/>
      <c r="M22" s="644"/>
      <c r="T22" s="644"/>
    </row>
    <row r="23" spans="2:20" s="103" customFormat="1" ht="35.25" customHeight="1">
      <c r="B23" s="647" t="s">
        <v>458</v>
      </c>
      <c r="C23" s="653" t="s">
        <v>438</v>
      </c>
      <c r="D23" s="656" t="s">
        <v>444</v>
      </c>
      <c r="E23" s="660" t="s">
        <v>586</v>
      </c>
      <c r="F23" s="656" t="s">
        <v>448</v>
      </c>
      <c r="G23" s="174"/>
      <c r="M23" s="644"/>
      <c r="T23" s="644"/>
    </row>
    <row r="24" spans="2:20" s="103" customFormat="1" ht="34.5" customHeight="1">
      <c r="B24" s="647" t="s">
        <v>455</v>
      </c>
      <c r="C24" s="653" t="s">
        <v>438</v>
      </c>
      <c r="D24" s="656" t="s">
        <v>445</v>
      </c>
      <c r="E24" s="660" t="s">
        <v>586</v>
      </c>
      <c r="F24" s="656" t="s">
        <v>448</v>
      </c>
      <c r="G24" s="174"/>
      <c r="M24" s="644"/>
      <c r="T24" s="644"/>
    </row>
    <row r="25" spans="2:20" s="103" customFormat="1" ht="32.25" customHeight="1">
      <c r="B25" s="648" t="s">
        <v>456</v>
      </c>
      <c r="C25" s="653" t="s">
        <v>437</v>
      </c>
      <c r="D25" s="656" t="s">
        <v>446</v>
      </c>
      <c r="E25" s="661" t="s">
        <v>605</v>
      </c>
      <c r="F25" s="664"/>
      <c r="G25" s="174"/>
      <c r="M25" s="644"/>
      <c r="T25" s="644"/>
    </row>
    <row r="26" spans="2:20" s="103" customFormat="1" ht="30.75" customHeight="1">
      <c r="B26" s="649" t="s">
        <v>542</v>
      </c>
      <c r="C26" s="653" t="s">
        <v>437</v>
      </c>
      <c r="D26" s="656"/>
      <c r="E26" s="661"/>
      <c r="F26" s="664"/>
      <c r="G26" s="174"/>
      <c r="M26" s="644"/>
      <c r="T26" s="644"/>
    </row>
    <row r="27" spans="2:20" s="103" customFormat="1" ht="32.25" customHeight="1">
      <c r="B27" s="650" t="s">
        <v>543</v>
      </c>
      <c r="C27" s="653" t="s">
        <v>437</v>
      </c>
      <c r="D27" s="657" t="s">
        <v>539</v>
      </c>
      <c r="E27" s="661"/>
      <c r="F27" s="664"/>
      <c r="G27" s="174"/>
      <c r="M27" s="644"/>
      <c r="T27" s="644"/>
    </row>
    <row r="28" spans="2:20" s="103" customFormat="1" ht="27" customHeight="1">
      <c r="B28" s="648" t="s">
        <v>457</v>
      </c>
      <c r="C28" s="653" t="s">
        <v>440</v>
      </c>
      <c r="D28" s="656" t="s">
        <v>482</v>
      </c>
      <c r="E28" s="661" t="s">
        <v>459</v>
      </c>
      <c r="F28" s="664"/>
      <c r="G28" s="174"/>
      <c r="M28" s="644"/>
      <c r="T28" s="644"/>
    </row>
    <row r="29" spans="2:20" s="103" customFormat="1" ht="27" customHeight="1">
      <c r="B29" s="650" t="s">
        <v>452</v>
      </c>
      <c r="C29" s="653" t="s">
        <v>437</v>
      </c>
      <c r="D29" s="656"/>
      <c r="E29" s="661"/>
      <c r="F29" s="656" t="s">
        <v>407</v>
      </c>
      <c r="G29" s="174"/>
      <c r="M29" s="644"/>
      <c r="T29" s="644"/>
    </row>
    <row r="30" spans="2:20" s="103" customFormat="1" ht="32.25" customHeight="1">
      <c r="B30" s="648" t="s">
        <v>207</v>
      </c>
      <c r="C30" s="653" t="s">
        <v>442</v>
      </c>
      <c r="D30" s="656" t="s">
        <v>556</v>
      </c>
      <c r="E30" s="662"/>
      <c r="F30" s="656" t="s">
        <v>555</v>
      </c>
      <c r="G30" s="645"/>
      <c r="M30" s="644"/>
    </row>
    <row r="31" spans="2:20" s="103" customFormat="1" ht="27.75" customHeight="1">
      <c r="B31" s="651" t="s">
        <v>540</v>
      </c>
      <c r="C31" s="654" t="s">
        <v>441</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109375" defaultRowHeight="14.4"/>
  <cols>
    <col min="1" max="1" width="61.109375" style="12" bestFit="1" customWidth="1"/>
    <col min="2" max="2" width="13.5546875" style="12" customWidth="1"/>
    <col min="3" max="3" width="9.109375" style="10"/>
    <col min="4" max="4" width="15" style="12" customWidth="1"/>
    <col min="5" max="5" width="11.5546875" style="10" customWidth="1"/>
    <col min="6" max="6" width="24.109375" style="12" customWidth="1"/>
    <col min="7" max="7" width="32" style="12" customWidth="1"/>
    <col min="8" max="8" width="14.5546875" style="12" customWidth="1"/>
    <col min="9" max="16384" width="9.109375" style="12"/>
  </cols>
  <sheetData>
    <row r="1" spans="1:8">
      <c r="A1" s="8" t="s">
        <v>410</v>
      </c>
      <c r="B1" s="8" t="s">
        <v>41</v>
      </c>
      <c r="C1" s="120" t="s">
        <v>234</v>
      </c>
      <c r="D1" s="8" t="s">
        <v>415</v>
      </c>
      <c r="E1" s="120" t="s">
        <v>450</v>
      </c>
      <c r="F1" s="120" t="s">
        <v>550</v>
      </c>
      <c r="G1" s="120" t="s">
        <v>569</v>
      </c>
      <c r="H1" s="120" t="s">
        <v>580</v>
      </c>
    </row>
    <row r="2" spans="1:8">
      <c r="A2" s="12" t="s">
        <v>29</v>
      </c>
      <c r="B2" s="12" t="s">
        <v>27</v>
      </c>
      <c r="C2" s="10">
        <v>2006</v>
      </c>
      <c r="D2" s="12" t="s">
        <v>416</v>
      </c>
      <c r="E2" s="10">
        <f>'2. LRAMVA Threshold'!D9</f>
        <v>2014</v>
      </c>
      <c r="F2" s="26" t="s">
        <v>170</v>
      </c>
      <c r="G2" s="12" t="s">
        <v>570</v>
      </c>
      <c r="H2" s="12" t="s">
        <v>588</v>
      </c>
    </row>
    <row r="3" spans="1:8">
      <c r="A3" s="12" t="s">
        <v>371</v>
      </c>
      <c r="B3" s="12" t="s">
        <v>27</v>
      </c>
      <c r="C3" s="10">
        <v>2007</v>
      </c>
      <c r="D3" s="12" t="s">
        <v>417</v>
      </c>
      <c r="E3" s="10">
        <f>'2. LRAMVA Threshold'!D24</f>
        <v>2014</v>
      </c>
      <c r="F3" s="12" t="s">
        <v>551</v>
      </c>
      <c r="G3" s="12" t="s">
        <v>571</v>
      </c>
      <c r="H3" s="12" t="s">
        <v>581</v>
      </c>
    </row>
    <row r="4" spans="1:8">
      <c r="A4" s="12" t="s">
        <v>372</v>
      </c>
      <c r="B4" s="12" t="s">
        <v>28</v>
      </c>
      <c r="C4" s="10">
        <v>2008</v>
      </c>
      <c r="D4" s="12" t="s">
        <v>418</v>
      </c>
      <c r="F4" s="12" t="s">
        <v>169</v>
      </c>
      <c r="G4" s="12" t="s">
        <v>572</v>
      </c>
    </row>
    <row r="5" spans="1:8">
      <c r="A5" s="12" t="s">
        <v>373</v>
      </c>
      <c r="B5" s="12" t="s">
        <v>28</v>
      </c>
      <c r="C5" s="10">
        <v>2009</v>
      </c>
      <c r="F5" s="12" t="s">
        <v>368</v>
      </c>
      <c r="G5" s="12" t="s">
        <v>573</v>
      </c>
    </row>
    <row r="6" spans="1:8">
      <c r="A6" s="12" t="s">
        <v>374</v>
      </c>
      <c r="B6" s="12" t="s">
        <v>28</v>
      </c>
      <c r="C6" s="10">
        <v>2010</v>
      </c>
      <c r="F6" s="12" t="s">
        <v>369</v>
      </c>
      <c r="G6" s="12" t="s">
        <v>574</v>
      </c>
    </row>
    <row r="7" spans="1:8">
      <c r="A7" s="12" t="s">
        <v>375</v>
      </c>
      <c r="B7" s="12" t="s">
        <v>28</v>
      </c>
      <c r="C7" s="10">
        <v>2011</v>
      </c>
      <c r="F7" s="12" t="s">
        <v>370</v>
      </c>
      <c r="G7" s="12" t="s">
        <v>575</v>
      </c>
    </row>
    <row r="8" spans="1:8">
      <c r="A8" s="12" t="s">
        <v>376</v>
      </c>
      <c r="B8" s="12" t="s">
        <v>28</v>
      </c>
      <c r="C8" s="10">
        <v>2012</v>
      </c>
      <c r="F8" s="12" t="s">
        <v>559</v>
      </c>
      <c r="G8" s="12" t="s">
        <v>576</v>
      </c>
    </row>
    <row r="9" spans="1:8">
      <c r="A9" s="12" t="s">
        <v>377</v>
      </c>
      <c r="B9" s="12" t="s">
        <v>28</v>
      </c>
      <c r="C9" s="10">
        <v>2013</v>
      </c>
      <c r="G9" s="12" t="s">
        <v>577</v>
      </c>
    </row>
    <row r="10" spans="1:8">
      <c r="A10" s="12" t="s">
        <v>378</v>
      </c>
      <c r="B10" s="12" t="s">
        <v>28</v>
      </c>
      <c r="C10" s="10">
        <v>2014</v>
      </c>
      <c r="G10" s="12" t="s">
        <v>578</v>
      </c>
    </row>
    <row r="11" spans="1:8">
      <c r="A11" s="12" t="s">
        <v>379</v>
      </c>
      <c r="B11" s="12" t="s">
        <v>28</v>
      </c>
      <c r="C11" s="10">
        <v>2015</v>
      </c>
      <c r="G11" s="12" t="s">
        <v>579</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pageSetUpPr fitToPage="1"/>
  </sheetPr>
  <dimension ref="A1:V108"/>
  <sheetViews>
    <sheetView tabSelected="1" topLeftCell="A13" zoomScaleNormal="100" workbookViewId="0">
      <selection activeCell="F45" sqref="F45"/>
    </sheetView>
  </sheetViews>
  <sheetFormatPr defaultColWidth="9.109375" defaultRowHeight="15.6"/>
  <cols>
    <col min="1" max="1" width="2.5546875" style="9" customWidth="1"/>
    <col min="2" max="2" width="33.5546875" style="9" customWidth="1"/>
    <col min="3" max="4" width="29.5546875" style="9" customWidth="1"/>
    <col min="5" max="5" width="24.44140625" style="17" customWidth="1"/>
    <col min="6" max="6" width="34.44140625" style="9" customWidth="1"/>
    <col min="7" max="7" width="27.5546875" style="9" customWidth="1"/>
    <col min="8" max="8" width="28.88671875" style="9" customWidth="1"/>
    <col min="9" max="9" width="23.109375" style="9" customWidth="1"/>
    <col min="10" max="10" width="22" style="9" customWidth="1"/>
    <col min="11" max="11" width="19.5546875" style="9" customWidth="1"/>
    <col min="12" max="12" width="21.5546875" style="9" customWidth="1"/>
    <col min="13" max="13" width="24" style="9" customWidth="1"/>
    <col min="14" max="14" width="24.109375" style="9" customWidth="1"/>
    <col min="15" max="15" width="21.44140625" style="9" customWidth="1"/>
    <col min="16" max="16" width="22.109375" style="9" customWidth="1"/>
    <col min="17" max="17" width="16.44140625" style="9" customWidth="1"/>
    <col min="18" max="18" width="15.5546875" style="9" customWidth="1"/>
    <col min="19" max="19" width="17.109375" style="9" customWidth="1"/>
    <col min="20" max="20" width="13.5546875" style="8" customWidth="1"/>
    <col min="21" max="21" width="6.33203125" style="8" customWidth="1"/>
    <col min="22" max="22" width="13.5546875" style="9" customWidth="1"/>
    <col min="23" max="23" width="15.33203125" style="9" customWidth="1"/>
    <col min="24" max="16384" width="9.1093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552</v>
      </c>
      <c r="D6" s="17"/>
      <c r="E6" s="9"/>
      <c r="T6" s="9"/>
      <c r="V6" s="8"/>
    </row>
    <row r="7" spans="2:22" ht="21" customHeight="1">
      <c r="B7" s="537"/>
      <c r="C7" s="17"/>
      <c r="D7" s="17"/>
      <c r="E7" s="9"/>
      <c r="T7" s="9"/>
      <c r="V7" s="8"/>
    </row>
    <row r="8" spans="2:22" ht="24.75" customHeight="1">
      <c r="B8" s="117" t="s">
        <v>239</v>
      </c>
      <c r="C8" s="189" t="s">
        <v>754</v>
      </c>
      <c r="D8" s="600"/>
      <c r="E8" s="9"/>
      <c r="T8" s="9"/>
      <c r="V8" s="8"/>
    </row>
    <row r="9" spans="2:22" ht="41.25" customHeight="1">
      <c r="B9" s="550" t="s">
        <v>521</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557</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548</v>
      </c>
      <c r="D14" s="542" t="s">
        <v>760</v>
      </c>
      <c r="E14" s="130"/>
      <c r="F14" s="124" t="s">
        <v>549</v>
      </c>
      <c r="H14" s="542" t="s">
        <v>511</v>
      </c>
      <c r="J14" s="124" t="s">
        <v>516</v>
      </c>
      <c r="L14" s="132"/>
      <c r="N14" s="103"/>
      <c r="Q14" s="99"/>
      <c r="R14" s="96"/>
    </row>
    <row r="15" spans="2:22" ht="26.25" customHeight="1" thickBot="1">
      <c r="B15" s="124" t="s">
        <v>424</v>
      </c>
      <c r="C15" s="106"/>
      <c r="D15" s="542" t="s">
        <v>797</v>
      </c>
      <c r="F15" s="124" t="s">
        <v>414</v>
      </c>
      <c r="G15" s="127"/>
      <c r="H15" s="542" t="s">
        <v>798</v>
      </c>
      <c r="I15" s="17"/>
      <c r="J15" s="124" t="s">
        <v>517</v>
      </c>
      <c r="L15" s="132"/>
      <c r="M15" s="103"/>
      <c r="Q15" s="108"/>
      <c r="R15" s="96"/>
    </row>
    <row r="16" spans="2:22" ht="28.5" customHeight="1" thickBot="1">
      <c r="B16" s="124" t="s">
        <v>454</v>
      </c>
      <c r="C16" s="106"/>
      <c r="D16" s="896" t="s">
        <v>178</v>
      </c>
      <c r="E16" s="103"/>
      <c r="F16" s="124" t="s">
        <v>434</v>
      </c>
      <c r="G16" s="125"/>
      <c r="H16" s="896" t="s">
        <v>796</v>
      </c>
      <c r="I16" s="103"/>
      <c r="K16" s="195"/>
      <c r="L16" s="195"/>
      <c r="M16" s="195"/>
      <c r="N16" s="195"/>
      <c r="Q16" s="115"/>
      <c r="R16" s="96"/>
    </row>
    <row r="17" spans="1:21" ht="29.25" customHeight="1">
      <c r="B17" s="124" t="s">
        <v>421</v>
      </c>
      <c r="C17" s="106"/>
      <c r="D17" s="732">
        <v>5049.6899999999996</v>
      </c>
      <c r="E17" s="121"/>
      <c r="F17" s="738" t="s">
        <v>671</v>
      </c>
      <c r="G17" s="195"/>
      <c r="H17" s="897">
        <v>2</v>
      </c>
      <c r="I17" s="17"/>
      <c r="M17" s="195"/>
      <c r="N17" s="195"/>
      <c r="P17" s="99"/>
      <c r="Q17" s="99"/>
      <c r="R17" s="96"/>
    </row>
    <row r="18" spans="1:21" s="28" customFormat="1" ht="29.25" customHeight="1">
      <c r="B18" s="124"/>
      <c r="C18" s="733"/>
      <c r="D18" s="731"/>
      <c r="E18" s="734"/>
      <c r="F18" s="730"/>
      <c r="G18" s="735"/>
      <c r="H18" s="736"/>
      <c r="I18" s="163"/>
      <c r="M18" s="735"/>
      <c r="N18" s="735"/>
      <c r="P18" s="735"/>
      <c r="Q18" s="735"/>
      <c r="R18" s="737"/>
      <c r="T18" s="37"/>
      <c r="U18" s="37"/>
    </row>
    <row r="19" spans="1:21" ht="27.75" customHeight="1" thickBot="1">
      <c r="E19" s="9"/>
      <c r="F19" s="124" t="s">
        <v>435</v>
      </c>
      <c r="G19" s="602" t="s">
        <v>363</v>
      </c>
      <c r="H19" s="242">
        <f>SUM(R54,R57,R60,R63,R66,R69,R72,R75,R78)</f>
        <v>136485.35746</v>
      </c>
      <c r="I19" s="17"/>
      <c r="J19" s="115"/>
      <c r="K19" s="115"/>
      <c r="L19" s="115"/>
      <c r="M19" s="115"/>
      <c r="N19" s="115"/>
      <c r="P19" s="115"/>
      <c r="Q19" s="115"/>
      <c r="R19" s="96"/>
    </row>
    <row r="20" spans="1:21" ht="27.75" customHeight="1" thickBot="1">
      <c r="E20" s="9"/>
      <c r="F20" s="124" t="s">
        <v>436</v>
      </c>
      <c r="G20" s="602" t="s">
        <v>364</v>
      </c>
      <c r="H20" s="131">
        <f>-SUM(R55,R58,R61,R64,R67,R70,R73,R76,R79)</f>
        <v>91583.184699999983</v>
      </c>
      <c r="I20" s="17"/>
      <c r="J20" s="115"/>
      <c r="P20" s="115"/>
      <c r="Q20" s="115"/>
      <c r="R20" s="96"/>
    </row>
    <row r="21" spans="1:21" ht="27.75" customHeight="1" thickBot="1">
      <c r="C21" s="32"/>
      <c r="D21" s="32"/>
      <c r="E21" s="32"/>
      <c r="F21" s="124" t="s">
        <v>408</v>
      </c>
      <c r="G21" s="602" t="s">
        <v>365</v>
      </c>
      <c r="H21" s="188">
        <f>R84</f>
        <v>3306.1294012097483</v>
      </c>
      <c r="I21" s="103"/>
      <c r="P21" s="115"/>
      <c r="Q21" s="115"/>
      <c r="R21" s="96"/>
    </row>
    <row r="22" spans="1:21" ht="27.75" customHeight="1">
      <c r="C22" s="32"/>
      <c r="D22" s="32"/>
      <c r="E22" s="32"/>
      <c r="F22" s="124" t="s">
        <v>510</v>
      </c>
      <c r="G22" s="602" t="s">
        <v>449</v>
      </c>
      <c r="H22" s="188">
        <f>H19-H20+H21</f>
        <v>48208.302161209765</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54" t="s">
        <v>678</v>
      </c>
      <c r="C26" s="854"/>
      <c r="D26" s="854"/>
      <c r="E26" s="854"/>
      <c r="F26" s="854"/>
      <c r="G26" s="854"/>
    </row>
    <row r="27" spans="1:21" ht="14.25" customHeight="1">
      <c r="A27" s="28"/>
      <c r="B27" s="547"/>
      <c r="C27" s="547"/>
      <c r="D27" s="538"/>
      <c r="E27" s="538"/>
      <c r="F27" s="538"/>
      <c r="G27" s="547"/>
    </row>
    <row r="28" spans="1:21" s="17" customFormat="1" ht="27" customHeight="1">
      <c r="B28" s="857" t="s">
        <v>507</v>
      </c>
      <c r="C28" s="858"/>
      <c r="D28" s="133" t="s">
        <v>41</v>
      </c>
      <c r="E28" s="134" t="s">
        <v>669</v>
      </c>
      <c r="F28" s="134" t="s">
        <v>408</v>
      </c>
      <c r="G28" s="135" t="s">
        <v>409</v>
      </c>
      <c r="T28" s="136"/>
      <c r="U28" s="136"/>
    </row>
    <row r="29" spans="1:21" ht="20.25" customHeight="1">
      <c r="B29" s="852" t="s">
        <v>29</v>
      </c>
      <c r="C29" s="853"/>
      <c r="D29" s="637" t="s">
        <v>27</v>
      </c>
      <c r="E29" s="138">
        <f>SUM(D54:D80)</f>
        <v>22911.159500000002</v>
      </c>
      <c r="F29" s="139">
        <f>D84</f>
        <v>1416.6566985156262</v>
      </c>
      <c r="G29" s="138">
        <f>E29+F29</f>
        <v>24327.816198515629</v>
      </c>
    </row>
    <row r="30" spans="1:21" ht="20.25" customHeight="1">
      <c r="B30" s="852" t="s">
        <v>371</v>
      </c>
      <c r="C30" s="853"/>
      <c r="D30" s="637" t="s">
        <v>27</v>
      </c>
      <c r="E30" s="140">
        <f>SUM(E54:E80)</f>
        <v>14480.655423999997</v>
      </c>
      <c r="F30" s="141">
        <f>E84</f>
        <v>995.36901084077954</v>
      </c>
      <c r="G30" s="140">
        <f>E30+F30</f>
        <v>15476.024434840776</v>
      </c>
    </row>
    <row r="31" spans="1:21" ht="20.25" customHeight="1">
      <c r="B31" s="852" t="s">
        <v>755</v>
      </c>
      <c r="C31" s="853"/>
      <c r="D31" s="637" t="s">
        <v>766</v>
      </c>
      <c r="E31" s="140">
        <f>SUM(F54:F80)</f>
        <v>-11272.473599999998</v>
      </c>
      <c r="F31" s="141">
        <f>F84</f>
        <v>-861.34746608029945</v>
      </c>
      <c r="G31" s="140">
        <f t="shared" ref="G31:G34" si="0">E31+F31</f>
        <v>-12133.821066080298</v>
      </c>
    </row>
    <row r="32" spans="1:21" ht="20.25" customHeight="1">
      <c r="B32" s="852" t="s">
        <v>31</v>
      </c>
      <c r="C32" s="853"/>
      <c r="D32" s="755" t="s">
        <v>766</v>
      </c>
      <c r="E32" s="140">
        <f>SUM(G54:G80)</f>
        <v>18782.831436000008</v>
      </c>
      <c r="F32" s="141">
        <f>G84</f>
        <v>1755.4511579336418</v>
      </c>
      <c r="G32" s="140">
        <f t="shared" si="0"/>
        <v>20538.282593933651</v>
      </c>
    </row>
    <row r="33" spans="2:22" ht="20.25" customHeight="1">
      <c r="B33" s="852" t="s">
        <v>32</v>
      </c>
      <c r="C33" s="853"/>
      <c r="D33" s="755" t="s">
        <v>27</v>
      </c>
      <c r="E33" s="140">
        <f>SUM(H54:H80)</f>
        <v>0</v>
      </c>
      <c r="F33" s="141">
        <f>H84</f>
        <v>0</v>
      </c>
      <c r="G33" s="140">
        <f>E33+F33</f>
        <v>0</v>
      </c>
    </row>
    <row r="34" spans="2:22" ht="20.25" customHeight="1">
      <c r="B34" s="852"/>
      <c r="C34" s="853"/>
      <c r="D34" s="637"/>
      <c r="E34" s="140">
        <f>SUM(I54:I80)</f>
        <v>0</v>
      </c>
      <c r="F34" s="141">
        <f>I84</f>
        <v>0</v>
      </c>
      <c r="G34" s="140">
        <f t="shared" si="0"/>
        <v>0</v>
      </c>
    </row>
    <row r="35" spans="2:22" ht="20.25" customHeight="1">
      <c r="B35" s="852"/>
      <c r="C35" s="853"/>
      <c r="D35" s="637"/>
      <c r="E35" s="140">
        <f>SUM(J54:J80)</f>
        <v>0</v>
      </c>
      <c r="F35" s="141">
        <f>J84</f>
        <v>0</v>
      </c>
      <c r="G35" s="140">
        <f>E35+F35</f>
        <v>0</v>
      </c>
    </row>
    <row r="36" spans="2:22" ht="20.25" customHeight="1">
      <c r="B36" s="852"/>
      <c r="C36" s="853"/>
      <c r="D36" s="637"/>
      <c r="E36" s="140">
        <f>SUM(K54:K80)</f>
        <v>0</v>
      </c>
      <c r="F36" s="141">
        <f>K84</f>
        <v>0</v>
      </c>
      <c r="G36" s="140">
        <f t="shared" ref="G36:G42" si="1">E36+F36</f>
        <v>0</v>
      </c>
    </row>
    <row r="37" spans="2:22" ht="20.25" customHeight="1">
      <c r="B37" s="852"/>
      <c r="C37" s="853"/>
      <c r="D37" s="637"/>
      <c r="E37" s="140">
        <f>SUM(L54:L80)</f>
        <v>0</v>
      </c>
      <c r="F37" s="141">
        <f>L84</f>
        <v>0</v>
      </c>
      <c r="G37" s="140">
        <f t="shared" si="1"/>
        <v>0</v>
      </c>
    </row>
    <row r="38" spans="2:22" ht="20.25" customHeight="1">
      <c r="B38" s="852"/>
      <c r="C38" s="853"/>
      <c r="D38" s="637"/>
      <c r="E38" s="140">
        <f>SUM(M54:M80)</f>
        <v>0</v>
      </c>
      <c r="F38" s="141">
        <f>M84</f>
        <v>0</v>
      </c>
      <c r="G38" s="140">
        <f t="shared" si="1"/>
        <v>0</v>
      </c>
    </row>
    <row r="39" spans="2:22" ht="20.25" customHeight="1">
      <c r="B39" s="852"/>
      <c r="C39" s="853"/>
      <c r="D39" s="637"/>
      <c r="E39" s="140">
        <f>SUM(N54:N80)</f>
        <v>0</v>
      </c>
      <c r="F39" s="141">
        <f>N84</f>
        <v>0</v>
      </c>
      <c r="G39" s="140">
        <f t="shared" si="1"/>
        <v>0</v>
      </c>
    </row>
    <row r="40" spans="2:22" ht="20.25" customHeight="1">
      <c r="B40" s="852"/>
      <c r="C40" s="853"/>
      <c r="D40" s="637"/>
      <c r="E40" s="140">
        <f>SUM(O54:O80)</f>
        <v>0</v>
      </c>
      <c r="F40" s="141">
        <f>O84</f>
        <v>0</v>
      </c>
      <c r="G40" s="140">
        <f t="shared" si="1"/>
        <v>0</v>
      </c>
    </row>
    <row r="41" spans="2:22" ht="20.25" customHeight="1">
      <c r="B41" s="852"/>
      <c r="C41" s="853"/>
      <c r="D41" s="637"/>
      <c r="E41" s="140">
        <f>SUM(P54:P80)</f>
        <v>0</v>
      </c>
      <c r="F41" s="141">
        <f>P84</f>
        <v>0</v>
      </c>
      <c r="G41" s="140">
        <f t="shared" si="1"/>
        <v>0</v>
      </c>
    </row>
    <row r="42" spans="2:22" ht="20.25" customHeight="1">
      <c r="B42" s="852"/>
      <c r="C42" s="853"/>
      <c r="D42" s="638"/>
      <c r="E42" s="142">
        <f>SUM(Q54:Q80)</f>
        <v>0</v>
      </c>
      <c r="F42" s="143">
        <f>Q84</f>
        <v>0</v>
      </c>
      <c r="G42" s="142">
        <f t="shared" si="1"/>
        <v>0</v>
      </c>
    </row>
    <row r="43" spans="2:22" s="8" customFormat="1" ht="21" customHeight="1">
      <c r="B43" s="855" t="s">
        <v>26</v>
      </c>
      <c r="C43" s="856"/>
      <c r="D43" s="137"/>
      <c r="E43" s="144">
        <f>SUM(E29:E42)</f>
        <v>44902.172760000009</v>
      </c>
      <c r="F43" s="144">
        <f>SUM(F29:F42)</f>
        <v>3306.1294012097483</v>
      </c>
      <c r="G43" s="144">
        <f>SUM(G29:G42)</f>
        <v>48208.302161209758</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54" t="s">
        <v>608</v>
      </c>
      <c r="C48" s="854"/>
      <c r="D48" s="854"/>
      <c r="E48" s="854"/>
      <c r="F48" s="854"/>
      <c r="G48" s="854"/>
      <c r="H48" s="854"/>
      <c r="I48" s="854"/>
      <c r="J48" s="854"/>
      <c r="K48" s="854"/>
      <c r="L48" s="854"/>
      <c r="M48" s="616"/>
      <c r="N48" s="105"/>
      <c r="O48" s="105"/>
      <c r="P48" s="105"/>
      <c r="Q48" s="105"/>
      <c r="R48" s="105"/>
      <c r="T48" s="37"/>
      <c r="U48" s="19"/>
      <c r="V48" s="38"/>
    </row>
    <row r="49" spans="2:22" s="28" customFormat="1" ht="40.950000000000003" customHeight="1">
      <c r="B49" s="854" t="s">
        <v>563</v>
      </c>
      <c r="C49" s="854"/>
      <c r="D49" s="854"/>
      <c r="E49" s="854"/>
      <c r="F49" s="854"/>
      <c r="G49" s="854"/>
      <c r="H49" s="854"/>
      <c r="I49" s="854"/>
      <c r="J49" s="854"/>
      <c r="K49" s="854"/>
      <c r="L49" s="854"/>
      <c r="M49" s="616"/>
      <c r="N49" s="105"/>
      <c r="O49" s="105"/>
      <c r="P49" s="105"/>
      <c r="Q49" s="105"/>
      <c r="R49" s="105"/>
      <c r="T49" s="37"/>
      <c r="U49" s="19"/>
      <c r="V49" s="38"/>
    </row>
    <row r="50" spans="2:22" s="28" customFormat="1" ht="18" customHeight="1">
      <c r="B50" s="854" t="s">
        <v>677</v>
      </c>
      <c r="C50" s="854"/>
      <c r="D50" s="854"/>
      <c r="E50" s="854"/>
      <c r="F50" s="854"/>
      <c r="G50" s="854"/>
      <c r="H50" s="854"/>
      <c r="I50" s="854"/>
      <c r="J50" s="854"/>
      <c r="K50" s="854"/>
      <c r="L50" s="854"/>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518</v>
      </c>
      <c r="D52" s="135" t="str">
        <f>IF($B29&lt;&gt;"",$B29,"")</f>
        <v>Residential</v>
      </c>
      <c r="E52" s="135" t="str">
        <f>IF($B30&lt;&gt;"",$B30,"")</f>
        <v>GS&lt;50 kW</v>
      </c>
      <c r="F52" s="135" t="str">
        <f>IF($B31&lt;&gt;"",$B31,"")</f>
        <v>GS&gt;50kW</v>
      </c>
      <c r="G52" s="135" t="str">
        <f>IF($B32&lt;&gt;"",$B32,"")</f>
        <v>Street Lighting</v>
      </c>
      <c r="H52" s="135" t="str">
        <f>IF($B33&lt;&gt;"",$B33,"")</f>
        <v>Unmetered Scattered Load</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4"/>
      <c r="C53" s="575"/>
      <c r="D53" s="575" t="str">
        <f>D29</f>
        <v>kWh</v>
      </c>
      <c r="E53" s="575" t="str">
        <f>D30</f>
        <v>kWh</v>
      </c>
      <c r="F53" s="575" t="str">
        <f>D31</f>
        <v>kw</v>
      </c>
      <c r="G53" s="575" t="str">
        <f>D32</f>
        <v>kw</v>
      </c>
      <c r="H53" s="575" t="str">
        <f>D33</f>
        <v>kWh</v>
      </c>
      <c r="I53" s="575">
        <f>D34</f>
        <v>0</v>
      </c>
      <c r="J53" s="575">
        <f>D35</f>
        <v>0</v>
      </c>
      <c r="K53" s="575">
        <f>D36</f>
        <v>0</v>
      </c>
      <c r="L53" s="575">
        <f>D37</f>
        <v>0</v>
      </c>
      <c r="M53" s="575">
        <f>D38</f>
        <v>0</v>
      </c>
      <c r="N53" s="575">
        <f>D39</f>
        <v>0</v>
      </c>
      <c r="O53" s="575">
        <f>D40</f>
        <v>0</v>
      </c>
      <c r="P53" s="575">
        <f>D41</f>
        <v>0</v>
      </c>
      <c r="Q53" s="575">
        <f>D42</f>
        <v>0</v>
      </c>
      <c r="R53" s="576"/>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920.70880000000011</v>
      </c>
      <c r="E60" s="156">
        <f>'4.  2011-2014 LRAM'!Z391</f>
        <v>1356.8860800000002</v>
      </c>
      <c r="F60" s="156">
        <f>'4.  2011-2014 LRAM'!AA391</f>
        <v>0</v>
      </c>
      <c r="G60" s="156">
        <f>'4.  2011-2014 LRAM'!AB391</f>
        <v>8330.2008000000005</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10607.795680000001</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4150.4400000000005</v>
      </c>
      <c r="E63" s="156">
        <f>'4.  2011-2014 LRAM'!Z521</f>
        <v>2191.9366379999997</v>
      </c>
      <c r="F63" s="156">
        <f>'4.  2011-2014 LRAM'!AA521</f>
        <v>0</v>
      </c>
      <c r="G63" s="156">
        <f>'4.  2011-2014 LRAM'!AB521</f>
        <v>10325.784360000001</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16668.160997999999</v>
      </c>
      <c r="U63" s="152"/>
      <c r="V63" s="153"/>
    </row>
    <row r="64" spans="2:22" s="163" customFormat="1">
      <c r="B64" s="154" t="s">
        <v>39</v>
      </c>
      <c r="C64" s="155"/>
      <c r="D64" s="156">
        <v>-6095.58</v>
      </c>
      <c r="E64" s="156">
        <v>-1594.12</v>
      </c>
      <c r="F64" s="822">
        <v>-2652.7347</v>
      </c>
      <c r="G64" s="822">
        <v>-8046.0167000000001</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-18388.451399999998</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7260.5479000000005</v>
      </c>
      <c r="E66" s="164">
        <f>'5.  2015-2020 LRAM'!Z204</f>
        <v>3237.2974260000001</v>
      </c>
      <c r="F66" s="164">
        <f>'5.  2015-2020 LRAM'!AA204</f>
        <v>0</v>
      </c>
      <c r="G66" s="164">
        <f>'5.  2015-2020 LRAM'!AB204</f>
        <v>11415.055200000003</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21912.900526000005</v>
      </c>
      <c r="U66" s="152"/>
      <c r="V66" s="153"/>
    </row>
    <row r="67" spans="2:22" s="163" customFormat="1">
      <c r="B67" s="154" t="s">
        <v>93</v>
      </c>
      <c r="C67" s="155"/>
      <c r="D67" s="164">
        <v>-6959.12</v>
      </c>
      <c r="E67" s="164">
        <v>-1814</v>
      </c>
      <c r="F67" s="823">
        <v>-2365.7633999999998</v>
      </c>
      <c r="G67" s="823">
        <v>-8894.7940000000017</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-20033.6774</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11855.376</v>
      </c>
      <c r="E69" s="156">
        <f>'5.  2015-2020 LRAM'!Z388</f>
        <v>3980.8042559999999</v>
      </c>
      <c r="F69" s="156">
        <f>'5.  2015-2020 LRAM'!AA388</f>
        <v>1.2696479999999999</v>
      </c>
      <c r="G69" s="156">
        <f>'5.  2015-2020 LRAM'!AB388</f>
        <v>11514.009552000001</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27351.459456000001</v>
      </c>
      <c r="U69" s="152"/>
      <c r="V69" s="153"/>
    </row>
    <row r="70" spans="2:22" s="163" customFormat="1">
      <c r="B70" s="154" t="s">
        <v>224</v>
      </c>
      <c r="C70" s="155"/>
      <c r="D70" s="156">
        <v>-5943.19</v>
      </c>
      <c r="E70" s="156">
        <v>-1905.61</v>
      </c>
      <c r="F70" s="824">
        <v>-2404.3959</v>
      </c>
      <c r="G70" s="824">
        <v>-9040.128200000001</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-19293.324099999998</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16100.804800000002</v>
      </c>
      <c r="E72" s="156">
        <f>'5.  2015-2020 LRAM'!Z572</f>
        <v>6370.346528</v>
      </c>
      <c r="F72" s="156">
        <f>'5.  2015-2020 LRAM'!AA572</f>
        <v>529.87996799999996</v>
      </c>
      <c r="G72" s="156">
        <f>'5.  2015-2020 LRAM'!AB572</f>
        <v>10771.208976</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33772.240272000003</v>
      </c>
      <c r="U72" s="152"/>
      <c r="V72" s="153"/>
    </row>
    <row r="73" spans="2:22" s="163" customFormat="1">
      <c r="B73" s="154" t="s">
        <v>226</v>
      </c>
      <c r="C73" s="155"/>
      <c r="D73" s="156">
        <v>-4216.1099999999997</v>
      </c>
      <c r="E73" s="156">
        <v>-1905.61</v>
      </c>
      <c r="F73" s="825">
        <v>-2444.4828000000002</v>
      </c>
      <c r="G73" s="825">
        <v>-9190.7898999999998</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-17756.992699999999</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8275.5119999999988</v>
      </c>
      <c r="E75" s="156">
        <f>'5.  2015-2020 LRAM'!Z756</f>
        <v>6468.3344959999995</v>
      </c>
      <c r="F75" s="156">
        <f>'5.  2015-2020 LRAM'!AA756</f>
        <v>535.86998399999993</v>
      </c>
      <c r="G75" s="156">
        <f>'5.  2015-2020 LRAM'!AB756</f>
        <v>10893.084048000001</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26172.800528</v>
      </c>
      <c r="U75" s="152"/>
      <c r="V75" s="153"/>
    </row>
    <row r="76" spans="2:22" s="163" customFormat="1" ht="16.5" customHeight="1">
      <c r="B76" s="154" t="s">
        <v>228</v>
      </c>
      <c r="C76" s="155"/>
      <c r="D76" s="156">
        <v>-2438.23</v>
      </c>
      <c r="E76" s="156">
        <v>-1905.61</v>
      </c>
      <c r="F76" s="826">
        <v>-2472.1163999999999</v>
      </c>
      <c r="G76" s="826">
        <v>-9294.7826999999997</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-16110.739099999999</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Charges'!I237</f>
        <v>1416.6566985156262</v>
      </c>
      <c r="E84" s="678">
        <f>'6.  Carrying Charges'!J237</f>
        <v>995.36901084077954</v>
      </c>
      <c r="F84" s="678">
        <f>'6.  Carrying Charges'!K237</f>
        <v>-861.34746608029945</v>
      </c>
      <c r="G84" s="678">
        <f>'6.  Carrying Charges'!L237</f>
        <v>1755.4511579336418</v>
      </c>
      <c r="H84" s="678">
        <f>'6.  Carrying Charges'!M237</f>
        <v>0</v>
      </c>
      <c r="I84" s="678">
        <f>'6.  Carrying Charges'!N237</f>
        <v>0</v>
      </c>
      <c r="J84" s="678">
        <f>'6.  Carrying Charges'!O237</f>
        <v>0</v>
      </c>
      <c r="K84" s="678">
        <f>'6.  Carrying Charges'!P237</f>
        <v>0</v>
      </c>
      <c r="L84" s="678">
        <f>'6.  Carrying Charges'!Q237</f>
        <v>0</v>
      </c>
      <c r="M84" s="678">
        <f>'6.  Carrying Charges'!R237</f>
        <v>0</v>
      </c>
      <c r="N84" s="678">
        <f>'6.  Carrying Charges'!S237</f>
        <v>0</v>
      </c>
      <c r="O84" s="678">
        <f>'6.  Carrying Charges'!T237</f>
        <v>0</v>
      </c>
      <c r="P84" s="678">
        <f>'6.  Carrying Charges'!U237</f>
        <v>0</v>
      </c>
      <c r="Q84" s="678">
        <f>'6.  Carrying Charges'!V237</f>
        <v>0</v>
      </c>
      <c r="R84" s="679">
        <f>SUM(D84:Q84)</f>
        <v>3306.1294012097483</v>
      </c>
      <c r="U84" s="152"/>
      <c r="V84" s="153"/>
    </row>
    <row r="85" spans="2:22" s="163" customFormat="1" ht="21.75" customHeight="1">
      <c r="B85" s="622" t="s">
        <v>240</v>
      </c>
      <c r="C85" s="623"/>
      <c r="D85" s="622">
        <f>SUM(D54:D80)+D84</f>
        <v>24327.816198515629</v>
      </c>
      <c r="E85" s="622">
        <f t="shared" ref="E85:Q85" si="2">SUM(E54:E80)+E84</f>
        <v>15476.024434840776</v>
      </c>
      <c r="F85" s="622">
        <f t="shared" si="2"/>
        <v>-12133.821066080298</v>
      </c>
      <c r="G85" s="622">
        <f t="shared" si="2"/>
        <v>20538.282593933651</v>
      </c>
      <c r="H85" s="622">
        <f t="shared" si="2"/>
        <v>0</v>
      </c>
      <c r="I85" s="622">
        <f t="shared" si="2"/>
        <v>0</v>
      </c>
      <c r="J85" s="622">
        <f t="shared" si="2"/>
        <v>0</v>
      </c>
      <c r="K85" s="622">
        <f t="shared" si="2"/>
        <v>0</v>
      </c>
      <c r="L85" s="622">
        <f t="shared" si="2"/>
        <v>0</v>
      </c>
      <c r="M85" s="622">
        <f t="shared" si="2"/>
        <v>0</v>
      </c>
      <c r="N85" s="622">
        <f t="shared" si="2"/>
        <v>0</v>
      </c>
      <c r="O85" s="622">
        <f t="shared" si="2"/>
        <v>0</v>
      </c>
      <c r="P85" s="622">
        <f t="shared" si="2"/>
        <v>0</v>
      </c>
      <c r="Q85" s="622">
        <f t="shared" si="2"/>
        <v>0</v>
      </c>
      <c r="R85" s="622">
        <f>SUM(R54:R80)+R84</f>
        <v>48208.302161209765</v>
      </c>
      <c r="U85" s="152"/>
      <c r="V85" s="153"/>
    </row>
    <row r="86" spans="2:22" ht="20.25" customHeight="1">
      <c r="B86" s="453" t="s">
        <v>537</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4.4">
      <c r="E88" s="9"/>
    </row>
    <row r="89" spans="2:22" ht="21" hidden="1" customHeight="1">
      <c r="B89" s="118" t="s">
        <v>538</v>
      </c>
      <c r="F89" s="588"/>
    </row>
    <row r="90" spans="2:22" s="548" customFormat="1" ht="27.75" hidden="1" customHeight="1">
      <c r="B90" s="569" t="s">
        <v>558</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f>'4.  2011-2014 LRAM'!AM131</f>
        <v>0</v>
      </c>
      <c r="D93" s="555">
        <f>SUM('4.  2011-2014 LRAM'!Y259:AL259)</f>
        <v>0</v>
      </c>
      <c r="E93" s="555">
        <f>SUM('4.  2011-2014 LRAM'!Y388:AL388)</f>
        <v>0</v>
      </c>
      <c r="F93" s="556">
        <f>SUM('4.  2011-2014 LRAM'!Y517:AL517)</f>
        <v>0</v>
      </c>
      <c r="G93" s="556">
        <f>SUM('5.  2015-2020 LRAM'!Y199:AL199)</f>
        <v>0</v>
      </c>
      <c r="H93" s="555">
        <f>SUM('5.  2015-2020 LRAM'!Y382:AL382)</f>
        <v>0</v>
      </c>
      <c r="I93" s="556">
        <f>SUM('5.  2015-2020 LRAM'!Y565:AL565)</f>
        <v>0</v>
      </c>
      <c r="J93" s="555">
        <f>SUM('5.  2015-2020 LRAM'!Y748:AL748)</f>
        <v>0</v>
      </c>
      <c r="K93" s="555">
        <f>SUM('5.  2015-2020 LRAM'!Y931:AL931)</f>
        <v>0</v>
      </c>
      <c r="L93" s="555">
        <f>SUM('5.  2015-2020 LRAM'!Y1114:AL1114)</f>
        <v>0</v>
      </c>
      <c r="M93" s="555">
        <f>SUM(C93:L93)</f>
        <v>0</v>
      </c>
      <c r="T93" s="197"/>
      <c r="U93" s="197"/>
    </row>
    <row r="94" spans="2:22" s="90" customFormat="1" ht="23.25" hidden="1" customHeight="1">
      <c r="B94" s="198">
        <v>2012</v>
      </c>
      <c r="C94" s="557"/>
      <c r="D94" s="556">
        <f>SUM('4.  2011-2014 LRAM'!Y260:AL260)</f>
        <v>0</v>
      </c>
      <c r="E94" s="555">
        <f>SUM('4.  2011-2014 LRAM'!Y389:AL389)</f>
        <v>0</v>
      </c>
      <c r="F94" s="556">
        <f>SUM('4.  2011-2014 LRAM'!Y518:AL518)</f>
        <v>0</v>
      </c>
      <c r="G94" s="556">
        <f>SUM('5.  2015-2020 LRAM'!Y200:AL200)</f>
        <v>0</v>
      </c>
      <c r="H94" s="555">
        <f>SUM('5.  2015-2020 LRAM'!Y383:AL383)</f>
        <v>0</v>
      </c>
      <c r="I94" s="556">
        <f>SUM('5.  2015-2020 LRAM'!Y566:AL566)</f>
        <v>0</v>
      </c>
      <c r="J94" s="555">
        <f>SUM('5.  2015-2020 LRAM'!Y749:AL749)</f>
        <v>0</v>
      </c>
      <c r="K94" s="555">
        <f>SUM('5.  2015-2020 LRAM'!Y932:AL932)</f>
        <v>0</v>
      </c>
      <c r="L94" s="555">
        <f>SUM('5.  2015-2020 LRAM'!Y1115:AL1115)</f>
        <v>0</v>
      </c>
      <c r="M94" s="555">
        <f>SUM(D94:L94)</f>
        <v>0</v>
      </c>
      <c r="T94" s="197"/>
      <c r="U94" s="197"/>
    </row>
    <row r="95" spans="2:22" s="90" customFormat="1" ht="23.25" hidden="1" customHeight="1">
      <c r="B95" s="198">
        <v>2013</v>
      </c>
      <c r="C95" s="558"/>
      <c r="D95" s="558"/>
      <c r="E95" s="556">
        <f>SUM('4.  2011-2014 LRAM'!Y390:AL390)</f>
        <v>10607.795680000001</v>
      </c>
      <c r="F95" s="556">
        <f>SUM('4.  2011-2014 LRAM'!Y519:AL519)</f>
        <v>13333.388298000002</v>
      </c>
      <c r="G95" s="556">
        <f>SUM('5.  2015-2020 LRAM'!Y201:AL201)</f>
        <v>14820.207226000002</v>
      </c>
      <c r="H95" s="555">
        <f>SUM('5.  2015-2020 LRAM'!Y384:AL384)</f>
        <v>14155.909852000001</v>
      </c>
      <c r="I95" s="556">
        <f>SUM('5.  2015-2020 LRAM'!Y567:AL567)</f>
        <v>12632.527271999999</v>
      </c>
      <c r="J95" s="555">
        <f>SUM('5.  2015-2020 LRAM'!Y750:AL750)</f>
        <v>12411.583904000001</v>
      </c>
      <c r="K95" s="555">
        <f>SUM('5.  2015-2020 LRAM'!Y933:AL933)</f>
        <v>0</v>
      </c>
      <c r="L95" s="555">
        <f>SUM('5.  2015-2020 LRAM'!Y1116:AL1116)</f>
        <v>0</v>
      </c>
      <c r="M95" s="555">
        <f>SUM(C95:L95)</f>
        <v>77961.412232000002</v>
      </c>
      <c r="T95" s="197"/>
      <c r="U95" s="197"/>
    </row>
    <row r="96" spans="2:22" s="90" customFormat="1" ht="23.25" hidden="1" customHeight="1">
      <c r="B96" s="198">
        <v>2014</v>
      </c>
      <c r="C96" s="558"/>
      <c r="D96" s="558"/>
      <c r="E96" s="558"/>
      <c r="F96" s="556">
        <f>SUM('4.  2011-2014 LRAM'!Y520:AL520)</f>
        <v>3334.7727</v>
      </c>
      <c r="G96" s="556">
        <f>SUM('5.  2015-2020 LRAM'!Y202:AL202)</f>
        <v>3555.5673000000002</v>
      </c>
      <c r="H96" s="555">
        <f>SUM('5.  2015-2020 LRAM'!Y385:AL385)</f>
        <v>2978.4157</v>
      </c>
      <c r="I96" s="556">
        <f>SUM('5.  2015-2020 LRAM'!Y568:AL568)</f>
        <v>2196.4998999999998</v>
      </c>
      <c r="J96" s="555">
        <f>SUM('5.  2015-2020 LRAM'!Y751:AL751)</f>
        <v>1408.3879999999999</v>
      </c>
      <c r="K96" s="555">
        <f>SUM('5.  2015-2020 LRAM'!Y934:AL934)</f>
        <v>0</v>
      </c>
      <c r="L96" s="555">
        <f>SUM('5.  2015-2020 LRAM'!Y1117:AL1117)</f>
        <v>0</v>
      </c>
      <c r="M96" s="555">
        <f>SUM(F96:L96)</f>
        <v>13473.643599999999</v>
      </c>
      <c r="T96" s="197"/>
      <c r="U96" s="197"/>
    </row>
    <row r="97" spans="2:21" s="90" customFormat="1" ht="23.25" hidden="1" customHeight="1">
      <c r="B97" s="198">
        <v>2015</v>
      </c>
      <c r="C97" s="558"/>
      <c r="D97" s="558"/>
      <c r="E97" s="558"/>
      <c r="F97" s="558"/>
      <c r="G97" s="556">
        <f>SUM('5.  2015-2020 LRAM'!Y203:AL203)</f>
        <v>3537.1260000000002</v>
      </c>
      <c r="H97" s="555">
        <f>SUM('5.  2015-2020 LRAM'!Y386:AL386)</f>
        <v>3132.5670999999998</v>
      </c>
      <c r="I97" s="556">
        <f>SUM('5.  2015-2020 LRAM'!Y569:AL569)</f>
        <v>2448.2121000000002</v>
      </c>
      <c r="J97" s="555">
        <f>SUM('5.  2015-2020 LRAM'!Y752:AL752)</f>
        <v>1742.98</v>
      </c>
      <c r="K97" s="555">
        <f>SUM('5.  2015-2020 LRAM'!Y935:AL935)</f>
        <v>0</v>
      </c>
      <c r="L97" s="555">
        <f>SUM('5.  2015-2020 LRAM'!Y1118:AL1118)</f>
        <v>0</v>
      </c>
      <c r="M97" s="555">
        <f>SUM(G97:L97)</f>
        <v>10860.885200000001</v>
      </c>
      <c r="T97" s="197"/>
      <c r="U97" s="197"/>
    </row>
    <row r="98" spans="2:21" s="90" customFormat="1" ht="23.25" hidden="1" customHeight="1">
      <c r="B98" s="198">
        <v>2016</v>
      </c>
      <c r="C98" s="558"/>
      <c r="D98" s="558"/>
      <c r="E98" s="558"/>
      <c r="F98" s="558"/>
      <c r="G98" s="558"/>
      <c r="H98" s="555">
        <f>SUM('5.  2015-2020 LRAM'!Y387:AL387)</f>
        <v>7084.566804000001</v>
      </c>
      <c r="I98" s="556">
        <f>SUM('5.  2015-2020 LRAM'!Y570:AL570)</f>
        <v>5348.327972</v>
      </c>
      <c r="J98" s="555">
        <f>SUM('5.  2015-2020 LRAM'!Y753:AL753)</f>
        <v>3562.1000639999997</v>
      </c>
      <c r="K98" s="555">
        <f>SUM('5.  2015-2020 LRAM'!Y936:AL936)</f>
        <v>0</v>
      </c>
      <c r="L98" s="555">
        <f>SUM('5.  2015-2020 LRAM'!Y1119:AL1119)</f>
        <v>0</v>
      </c>
      <c r="M98" s="555">
        <f>SUM(H98:L98)</f>
        <v>15994.994840000001</v>
      </c>
      <c r="T98" s="197"/>
      <c r="U98" s="197"/>
    </row>
    <row r="99" spans="2:21" s="90" customFormat="1" ht="23.25" hidden="1" customHeight="1">
      <c r="B99" s="198">
        <v>2017</v>
      </c>
      <c r="C99" s="558"/>
      <c r="D99" s="558"/>
      <c r="E99" s="558"/>
      <c r="F99" s="558"/>
      <c r="G99" s="558"/>
      <c r="H99" s="558"/>
      <c r="I99" s="555">
        <f>SUM('5.  2015-2020 LRAM'!Y571:AL571)</f>
        <v>11146.673028000001</v>
      </c>
      <c r="J99" s="555">
        <f>SUM('5.  2015-2020 LRAM'!Y754:AL754)</f>
        <v>7047.7485599999991</v>
      </c>
      <c r="K99" s="555">
        <f>SUM('5.  2015-2020 LRAM'!Y937:AL937)</f>
        <v>0</v>
      </c>
      <c r="L99" s="555">
        <f>SUM('5.  2015-2020 LRAM'!Y1120:AL1120)</f>
        <v>0</v>
      </c>
      <c r="M99" s="555">
        <f>SUM(I99:L99)</f>
        <v>18194.421588000001</v>
      </c>
      <c r="T99" s="197"/>
      <c r="U99" s="197"/>
    </row>
    <row r="100" spans="2:21" s="90" customFormat="1" ht="23.25" hidden="1" customHeight="1">
      <c r="B100" s="198">
        <v>2018</v>
      </c>
      <c r="C100" s="558"/>
      <c r="D100" s="558"/>
      <c r="E100" s="558"/>
      <c r="F100" s="558"/>
      <c r="G100" s="558"/>
      <c r="H100" s="558"/>
      <c r="I100" s="558"/>
      <c r="J100" s="555">
        <f>SUM('5.  2015-2020 LRAM'!Y755:AL755)</f>
        <v>0</v>
      </c>
      <c r="K100" s="555">
        <f>SUM('5.  2015-2020 LRAM'!Y938:AL938)</f>
        <v>0</v>
      </c>
      <c r="L100" s="555">
        <f>SUM('5.  2015-2020 LRAM'!Y1121:AL1121)</f>
        <v>0</v>
      </c>
      <c r="M100" s="555">
        <f>SUM(J100:L100)</f>
        <v>0</v>
      </c>
      <c r="T100" s="197"/>
      <c r="U100" s="197"/>
    </row>
    <row r="101" spans="2:21" s="90" customFormat="1" ht="23.25" hidden="1" customHeight="1">
      <c r="B101" s="198">
        <v>2019</v>
      </c>
      <c r="C101" s="558"/>
      <c r="D101" s="558"/>
      <c r="E101" s="558"/>
      <c r="F101" s="558"/>
      <c r="G101" s="558"/>
      <c r="H101" s="558"/>
      <c r="I101" s="558"/>
      <c r="J101" s="558"/>
      <c r="K101" s="555">
        <f>SUM('5.  2015-2020 LRAM'!Y939:AL939)</f>
        <v>0</v>
      </c>
      <c r="L101" s="555">
        <f>SUM('5.  2015-2020 LRAM'!Y1122:AL1122)</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LRAM'!Y1123:AL1123)</f>
        <v>0</v>
      </c>
      <c r="M102" s="557">
        <f>L102</f>
        <v>0</v>
      </c>
      <c r="T102" s="197"/>
      <c r="U102" s="197"/>
    </row>
    <row r="103" spans="2:21" s="196" customFormat="1" ht="24" hidden="1" customHeight="1">
      <c r="B103" s="570" t="s">
        <v>520</v>
      </c>
      <c r="C103" s="554">
        <f>C93</f>
        <v>0</v>
      </c>
      <c r="D103" s="555">
        <f>D93+D94</f>
        <v>0</v>
      </c>
      <c r="E103" s="555">
        <f>E93+E94+E95</f>
        <v>10607.795680000001</v>
      </c>
      <c r="F103" s="555">
        <f>F93+F94+F95+F96</f>
        <v>16668.160998000003</v>
      </c>
      <c r="G103" s="555">
        <f>G93+G94+G95+G96+G97</f>
        <v>21912.900526000001</v>
      </c>
      <c r="H103" s="555">
        <f>H93+H94+H95+H96+H97+H98</f>
        <v>27351.459456000004</v>
      </c>
      <c r="I103" s="555">
        <f>I93+I94+I95+I96+I97+I98+I99</f>
        <v>33772.240271999995</v>
      </c>
      <c r="J103" s="555">
        <f>J93+J94+J95+J96+J97+J98+J99+J100</f>
        <v>26172.800528</v>
      </c>
      <c r="K103" s="555">
        <f>K93+K94+K95+K96+K97+K98+K99+K100+K101</f>
        <v>0</v>
      </c>
      <c r="L103" s="555">
        <f>SUM(L93:L102)</f>
        <v>0</v>
      </c>
      <c r="M103" s="555">
        <f>SUM(M93:M102)</f>
        <v>136485.35746</v>
      </c>
      <c r="T103" s="199"/>
      <c r="U103" s="199"/>
    </row>
    <row r="104" spans="2:21" s="27" customFormat="1" ht="24.75" hidden="1" customHeight="1">
      <c r="B104" s="571" t="s">
        <v>519</v>
      </c>
      <c r="C104" s="553">
        <f>'4.  2011-2014 LRAM'!AM132</f>
        <v>0</v>
      </c>
      <c r="D104" s="553">
        <f>'4.  2011-2014 LRAM'!AM262</f>
        <v>0</v>
      </c>
      <c r="E104" s="553">
        <f>'4.  2011-2014 LRAM'!AM392</f>
        <v>0</v>
      </c>
      <c r="F104" s="553">
        <f>'4.  2011-2014 LRAM'!AM522</f>
        <v>0</v>
      </c>
      <c r="G104" s="553">
        <f>'5.  2015-2020 LRAM'!AM205</f>
        <v>0</v>
      </c>
      <c r="H104" s="553">
        <f>'5.  2015-2020 LRAM'!AM389</f>
        <v>0</v>
      </c>
      <c r="I104" s="553">
        <f>'5.  2015-2020 LRAM'!AM573</f>
        <v>0</v>
      </c>
      <c r="J104" s="553">
        <f>'5.  2015-2020 LRAM'!AM757</f>
        <v>0</v>
      </c>
      <c r="K104" s="553">
        <f>'5.  2015-2020 LRAM'!AM941</f>
        <v>0</v>
      </c>
      <c r="L104" s="553">
        <f>'5.  2015-2020 LRAM'!AM1125</f>
        <v>0</v>
      </c>
      <c r="M104" s="555">
        <f>SUM(C104:L104)</f>
        <v>0</v>
      </c>
      <c r="T104" s="89"/>
      <c r="U104" s="89"/>
    </row>
    <row r="105" spans="2:21" ht="24.75" hidden="1" customHeight="1">
      <c r="B105" s="571" t="s">
        <v>43</v>
      </c>
      <c r="C105" s="553">
        <f>'6.  Carrying Charges'!W27</f>
        <v>0</v>
      </c>
      <c r="D105" s="553">
        <f>'6.  Carrying Charges'!W42</f>
        <v>0</v>
      </c>
      <c r="E105" s="553">
        <f>'6.  Carrying Charges'!W57</f>
        <v>71.470023394000009</v>
      </c>
      <c r="F105" s="553">
        <f>'6.  Carrying Charges'!W72</f>
        <v>215.81416330652502</v>
      </c>
      <c r="G105" s="553">
        <f>'6.  Carrying Charges'!W87</f>
        <v>331.41693712288759</v>
      </c>
      <c r="H105" s="553">
        <f>'6.  Carrying Charges'!W102</f>
        <v>490.47738198672101</v>
      </c>
      <c r="I105" s="553">
        <f>'6.  Carrying Charges'!W117</f>
        <v>810.46532659222112</v>
      </c>
      <c r="J105" s="553">
        <f>'6.  Carrying Charges'!W132</f>
        <v>1551.5770006127461</v>
      </c>
      <c r="K105" s="553">
        <f>'6.  Carrying Charges'!W147</f>
        <v>2560.7533333937458</v>
      </c>
      <c r="L105" s="553">
        <f>'6.  Carrying Charges'!W162</f>
        <v>3178.158208843744</v>
      </c>
      <c r="M105" s="555">
        <f>SUM(C105:L105)</f>
        <v>9210.1323752525914</v>
      </c>
    </row>
    <row r="106" spans="2:21" ht="23.25" hidden="1" customHeight="1">
      <c r="B106" s="570" t="s">
        <v>26</v>
      </c>
      <c r="C106" s="553">
        <f>C103-C104+C105</f>
        <v>0</v>
      </c>
      <c r="D106" s="553">
        <f t="shared" ref="D106:J106" si="3">D103-D104+D105</f>
        <v>0</v>
      </c>
      <c r="E106" s="553">
        <f t="shared" si="3"/>
        <v>10679.265703394001</v>
      </c>
      <c r="F106" s="553">
        <f t="shared" si="3"/>
        <v>16883.975161306527</v>
      </c>
      <c r="G106" s="553">
        <f t="shared" si="3"/>
        <v>22244.31746312289</v>
      </c>
      <c r="H106" s="553">
        <f t="shared" si="3"/>
        <v>27841.936837986726</v>
      </c>
      <c r="I106" s="553">
        <f t="shared" si="3"/>
        <v>34582.70559859222</v>
      </c>
      <c r="J106" s="553">
        <f t="shared" si="3"/>
        <v>27724.377528612746</v>
      </c>
      <c r="K106" s="553">
        <f>K103-K104+K105</f>
        <v>2560.7533333937458</v>
      </c>
      <c r="L106" s="553">
        <f>L103-L104+L105</f>
        <v>3178.158208843744</v>
      </c>
      <c r="M106" s="553">
        <f>M103-M104+M105</f>
        <v>145695.48983525258</v>
      </c>
    </row>
    <row r="107" spans="2:21" hidden="1"/>
    <row r="108" spans="2:21">
      <c r="B108" s="588" t="s">
        <v>527</v>
      </c>
    </row>
  </sheetData>
  <mergeCells count="20">
    <mergeCell ref="B37:C37"/>
    <mergeCell ref="B38:C38"/>
    <mergeCell ref="B34:C34"/>
    <mergeCell ref="B35:C35"/>
    <mergeCell ref="B36:C36"/>
    <mergeCell ref="B32:C32"/>
    <mergeCell ref="B33:C33"/>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7"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960120</xdr:colOff>
                    <xdr:row>53</xdr:row>
                    <xdr:rowOff>22860</xdr:rowOff>
                  </from>
                  <to>
                    <xdr:col>2</xdr:col>
                    <xdr:colOff>1379220</xdr:colOff>
                    <xdr:row>54</xdr:row>
                    <xdr:rowOff>160020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960120</xdr:colOff>
                    <xdr:row>56</xdr:row>
                    <xdr:rowOff>22860</xdr:rowOff>
                  </from>
                  <to>
                    <xdr:col>2</xdr:col>
                    <xdr:colOff>1379220</xdr:colOff>
                    <xdr:row>57</xdr:row>
                    <xdr:rowOff>160020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960120</xdr:colOff>
                    <xdr:row>59</xdr:row>
                    <xdr:rowOff>22860</xdr:rowOff>
                  </from>
                  <to>
                    <xdr:col>2</xdr:col>
                    <xdr:colOff>1379220</xdr:colOff>
                    <xdr:row>60</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960120</xdr:colOff>
                    <xdr:row>62</xdr:row>
                    <xdr:rowOff>22860</xdr:rowOff>
                  </from>
                  <to>
                    <xdr:col>2</xdr:col>
                    <xdr:colOff>1379220</xdr:colOff>
                    <xdr:row>63</xdr:row>
                    <xdr:rowOff>160020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960120</xdr:colOff>
                    <xdr:row>65</xdr:row>
                    <xdr:rowOff>22860</xdr:rowOff>
                  </from>
                  <to>
                    <xdr:col>2</xdr:col>
                    <xdr:colOff>1379220</xdr:colOff>
                    <xdr:row>66</xdr:row>
                    <xdr:rowOff>160020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960120</xdr:colOff>
                    <xdr:row>68</xdr:row>
                    <xdr:rowOff>38100</xdr:rowOff>
                  </from>
                  <to>
                    <xdr:col>2</xdr:col>
                    <xdr:colOff>1379220</xdr:colOff>
                    <xdr:row>69</xdr:row>
                    <xdr:rowOff>175260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960120</xdr:colOff>
                    <xdr:row>71</xdr:row>
                    <xdr:rowOff>38100</xdr:rowOff>
                  </from>
                  <to>
                    <xdr:col>2</xdr:col>
                    <xdr:colOff>1379220</xdr:colOff>
                    <xdr:row>72</xdr:row>
                    <xdr:rowOff>175260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30480</xdr:rowOff>
                  </from>
                  <to>
                    <xdr:col>2</xdr:col>
                    <xdr:colOff>1371600</xdr:colOff>
                    <xdr:row>75</xdr:row>
                    <xdr:rowOff>175260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16" zoomScale="80" zoomScaleNormal="80" workbookViewId="0">
      <selection activeCell="G42" sqref="G42:H42"/>
    </sheetView>
  </sheetViews>
  <sheetFormatPr defaultColWidth="9.109375" defaultRowHeight="14.4"/>
  <cols>
    <col min="1" max="1" width="5.44140625" style="12" customWidth="1"/>
    <col min="2" max="2" width="27" style="12" customWidth="1"/>
    <col min="3" max="3" width="24.33203125" style="12" customWidth="1"/>
    <col min="4" max="4" width="23.44140625" style="12" customWidth="1"/>
    <col min="5" max="5" width="28.5546875" style="12" customWidth="1"/>
    <col min="6" max="6" width="43.88671875" style="12" customWidth="1"/>
    <col min="7" max="7" width="72.5546875" style="12" customWidth="1"/>
    <col min="8" max="16384" width="9.109375" style="12"/>
  </cols>
  <sheetData>
    <row r="13" spans="2:3" ht="15" thickBot="1"/>
    <row r="14" spans="2:3" ht="26.25" customHeight="1" thickBot="1">
      <c r="B14" s="537" t="s">
        <v>171</v>
      </c>
      <c r="C14" s="126" t="s">
        <v>175</v>
      </c>
    </row>
    <row r="15" spans="2:3" ht="26.25" customHeight="1" thickBot="1">
      <c r="C15" s="128" t="s">
        <v>406</v>
      </c>
    </row>
    <row r="16" spans="2:3" ht="27" customHeight="1" thickBot="1">
      <c r="C16" s="568" t="s">
        <v>552</v>
      </c>
    </row>
    <row r="19" spans="2:8" ht="15.6">
      <c r="B19" s="537" t="s">
        <v>613</v>
      </c>
    </row>
    <row r="20" spans="2:8" ht="13.5" customHeight="1"/>
    <row r="21" spans="2:8" ht="40.950000000000003" customHeight="1">
      <c r="B21" s="854" t="s">
        <v>676</v>
      </c>
      <c r="C21" s="854"/>
      <c r="D21" s="854"/>
      <c r="E21" s="854"/>
      <c r="F21" s="854"/>
      <c r="G21" s="854"/>
      <c r="H21" s="854"/>
    </row>
    <row r="23" spans="2:8" s="608" customFormat="1" ht="15.6">
      <c r="B23" s="618" t="s">
        <v>547</v>
      </c>
      <c r="C23" s="618" t="s">
        <v>562</v>
      </c>
      <c r="D23" s="618" t="s">
        <v>546</v>
      </c>
      <c r="E23" s="863" t="s">
        <v>34</v>
      </c>
      <c r="F23" s="864"/>
      <c r="G23" s="863" t="s">
        <v>545</v>
      </c>
      <c r="H23" s="864"/>
    </row>
    <row r="24" spans="2:8">
      <c r="B24" s="607">
        <v>1</v>
      </c>
      <c r="C24" s="643"/>
      <c r="D24" s="606"/>
      <c r="E24" s="859"/>
      <c r="F24" s="860"/>
      <c r="G24" s="861"/>
      <c r="H24" s="862"/>
    </row>
    <row r="25" spans="2:8">
      <c r="B25" s="607">
        <v>2</v>
      </c>
      <c r="C25" s="643"/>
      <c r="D25" s="606"/>
      <c r="E25" s="859"/>
      <c r="F25" s="860"/>
      <c r="G25" s="861"/>
      <c r="H25" s="862"/>
    </row>
    <row r="26" spans="2:8">
      <c r="B26" s="607">
        <v>3</v>
      </c>
      <c r="C26" s="643"/>
      <c r="D26" s="606"/>
      <c r="E26" s="859"/>
      <c r="F26" s="860"/>
      <c r="G26" s="861"/>
      <c r="H26" s="862"/>
    </row>
    <row r="27" spans="2:8">
      <c r="B27" s="607">
        <v>4</v>
      </c>
      <c r="C27" s="643"/>
      <c r="D27" s="606"/>
      <c r="E27" s="859"/>
      <c r="F27" s="860"/>
      <c r="G27" s="861"/>
      <c r="H27" s="862"/>
    </row>
    <row r="28" spans="2:8">
      <c r="B28" s="607">
        <v>5</v>
      </c>
      <c r="C28" s="643"/>
      <c r="D28" s="606"/>
      <c r="E28" s="859"/>
      <c r="F28" s="860"/>
      <c r="G28" s="861"/>
      <c r="H28" s="862"/>
    </row>
    <row r="29" spans="2:8">
      <c r="B29" s="607">
        <v>6</v>
      </c>
      <c r="C29" s="643"/>
      <c r="D29" s="606"/>
      <c r="E29" s="859"/>
      <c r="F29" s="860"/>
      <c r="G29" s="861"/>
      <c r="H29" s="862"/>
    </row>
    <row r="30" spans="2:8">
      <c r="B30" s="607">
        <v>7</v>
      </c>
      <c r="C30" s="643"/>
      <c r="D30" s="606"/>
      <c r="E30" s="859"/>
      <c r="F30" s="860"/>
      <c r="G30" s="861"/>
      <c r="H30" s="862"/>
    </row>
    <row r="31" spans="2:8">
      <c r="B31" s="607">
        <v>8</v>
      </c>
      <c r="C31" s="643"/>
      <c r="D31" s="606"/>
      <c r="E31" s="859"/>
      <c r="F31" s="860"/>
      <c r="G31" s="861"/>
      <c r="H31" s="862"/>
    </row>
    <row r="32" spans="2:8">
      <c r="B32" s="607">
        <v>9</v>
      </c>
      <c r="C32" s="643"/>
      <c r="D32" s="606"/>
      <c r="E32" s="859"/>
      <c r="F32" s="860"/>
      <c r="G32" s="861"/>
      <c r="H32" s="862"/>
    </row>
    <row r="33" spans="2:8">
      <c r="B33" s="607">
        <v>10</v>
      </c>
      <c r="C33" s="643"/>
      <c r="D33" s="606"/>
      <c r="E33" s="859"/>
      <c r="F33" s="860"/>
      <c r="G33" s="861"/>
      <c r="H33" s="862"/>
    </row>
    <row r="34" spans="2:8">
      <c r="B34" s="607" t="s">
        <v>480</v>
      </c>
      <c r="C34" s="643"/>
      <c r="D34" s="606"/>
      <c r="E34" s="859"/>
      <c r="F34" s="860"/>
      <c r="G34" s="861"/>
      <c r="H34" s="862"/>
    </row>
    <row r="36" spans="2:8" ht="30.75" customHeight="1">
      <c r="B36" s="537" t="s">
        <v>609</v>
      </c>
    </row>
    <row r="37" spans="2:8" ht="23.25" customHeight="1">
      <c r="B37" s="567" t="s">
        <v>614</v>
      </c>
      <c r="C37" s="604"/>
      <c r="D37" s="604"/>
      <c r="E37" s="604"/>
      <c r="F37" s="604"/>
      <c r="G37" s="604"/>
      <c r="H37" s="604"/>
    </row>
    <row r="39" spans="2:8" s="90" customFormat="1" ht="15.6">
      <c r="B39" s="618" t="s">
        <v>547</v>
      </c>
      <c r="C39" s="618" t="s">
        <v>562</v>
      </c>
      <c r="D39" s="618" t="s">
        <v>546</v>
      </c>
      <c r="E39" s="863" t="s">
        <v>34</v>
      </c>
      <c r="F39" s="864"/>
      <c r="G39" s="863" t="s">
        <v>545</v>
      </c>
      <c r="H39" s="864"/>
    </row>
    <row r="40" spans="2:8">
      <c r="B40" s="607">
        <v>1</v>
      </c>
      <c r="C40" s="643" t="s">
        <v>368</v>
      </c>
      <c r="D40" s="606" t="s">
        <v>790</v>
      </c>
      <c r="E40" s="859" t="s">
        <v>789</v>
      </c>
      <c r="F40" s="860"/>
      <c r="G40" s="861" t="s">
        <v>792</v>
      </c>
      <c r="H40" s="862"/>
    </row>
    <row r="41" spans="2:8">
      <c r="B41" s="607">
        <v>2</v>
      </c>
      <c r="C41" s="643" t="s">
        <v>369</v>
      </c>
      <c r="D41" s="606" t="s">
        <v>790</v>
      </c>
      <c r="E41" s="859" t="s">
        <v>791</v>
      </c>
      <c r="F41" s="860"/>
      <c r="G41" s="861" t="s">
        <v>792</v>
      </c>
      <c r="H41" s="862"/>
    </row>
    <row r="42" spans="2:8">
      <c r="B42" s="607">
        <v>3</v>
      </c>
      <c r="C42" s="643" t="s">
        <v>370</v>
      </c>
      <c r="D42" s="606" t="s">
        <v>794</v>
      </c>
      <c r="E42" s="859" t="s">
        <v>795</v>
      </c>
      <c r="F42" s="860"/>
      <c r="G42" s="859" t="s">
        <v>795</v>
      </c>
      <c r="H42" s="860"/>
    </row>
    <row r="43" spans="2:8">
      <c r="B43" s="607">
        <v>4</v>
      </c>
      <c r="C43" s="643" t="s">
        <v>170</v>
      </c>
      <c r="D43" s="606" t="s">
        <v>790</v>
      </c>
      <c r="E43" s="859" t="s">
        <v>793</v>
      </c>
      <c r="F43" s="860"/>
      <c r="G43" s="859" t="s">
        <v>793</v>
      </c>
      <c r="H43" s="860"/>
    </row>
    <row r="44" spans="2:8">
      <c r="B44" s="607">
        <v>5</v>
      </c>
      <c r="C44" s="643"/>
      <c r="D44" s="606"/>
      <c r="E44" s="859"/>
      <c r="F44" s="860"/>
      <c r="G44" s="861"/>
      <c r="H44" s="862"/>
    </row>
    <row r="45" spans="2:8">
      <c r="B45" s="607">
        <v>6</v>
      </c>
      <c r="C45" s="643"/>
      <c r="D45" s="606"/>
      <c r="E45" s="859"/>
      <c r="F45" s="860"/>
      <c r="G45" s="861"/>
      <c r="H45" s="862"/>
    </row>
    <row r="46" spans="2:8">
      <c r="B46" s="607">
        <v>7</v>
      </c>
      <c r="C46" s="643"/>
      <c r="D46" s="606"/>
      <c r="E46" s="859"/>
      <c r="F46" s="860"/>
      <c r="G46" s="861"/>
      <c r="H46" s="862"/>
    </row>
    <row r="47" spans="2:8">
      <c r="B47" s="607">
        <v>8</v>
      </c>
      <c r="C47" s="643"/>
      <c r="D47" s="606"/>
      <c r="E47" s="859"/>
      <c r="F47" s="860"/>
      <c r="G47" s="861"/>
      <c r="H47" s="862"/>
    </row>
    <row r="48" spans="2:8">
      <c r="B48" s="607">
        <v>9</v>
      </c>
      <c r="C48" s="643"/>
      <c r="D48" s="606"/>
      <c r="E48" s="859"/>
      <c r="F48" s="860"/>
      <c r="G48" s="861"/>
      <c r="H48" s="862"/>
    </row>
    <row r="49" spans="2:8">
      <c r="B49" s="607">
        <v>10</v>
      </c>
      <c r="C49" s="643"/>
      <c r="D49" s="606"/>
      <c r="E49" s="859"/>
      <c r="F49" s="860"/>
      <c r="G49" s="861"/>
      <c r="H49" s="862"/>
    </row>
    <row r="50" spans="2:8">
      <c r="B50" s="607" t="s">
        <v>480</v>
      </c>
      <c r="C50" s="643"/>
      <c r="D50" s="606"/>
      <c r="E50" s="859"/>
      <c r="F50" s="860"/>
      <c r="G50" s="861"/>
      <c r="H50" s="862"/>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14" zoomScale="90" zoomScaleNormal="90" workbookViewId="0">
      <selection activeCell="F36" sqref="F36"/>
    </sheetView>
  </sheetViews>
  <sheetFormatPr defaultColWidth="9.109375"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109375" style="12" customWidth="1"/>
    <col min="9" max="13" width="22.109375" style="12" customWidth="1"/>
    <col min="14" max="14" width="26" style="12" customWidth="1"/>
    <col min="15" max="16" width="22.109375" style="12" customWidth="1"/>
    <col min="17" max="17" width="16.33203125" style="12" customWidth="1"/>
    <col min="18" max="18" width="13.5546875" style="12" customWidth="1"/>
    <col min="19" max="19" width="13.88671875" style="12" customWidth="1"/>
    <col min="20" max="20" width="20" style="12" customWidth="1"/>
    <col min="21" max="21" width="10.109375" style="12" customWidth="1"/>
    <col min="22" max="30" width="14" style="12" customWidth="1"/>
    <col min="31" max="16384" width="9.1093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8" t="s">
        <v>552</v>
      </c>
      <c r="P7" s="105"/>
      <c r="Q7" s="105"/>
    </row>
    <row r="8" spans="2:17" s="104" customFormat="1" ht="30" customHeight="1">
      <c r="D8" s="573"/>
      <c r="P8" s="105"/>
      <c r="Q8" s="105"/>
    </row>
    <row r="9" spans="2:17" s="2" customFormat="1" ht="24.75" customHeight="1">
      <c r="B9" s="118" t="s">
        <v>411</v>
      </c>
      <c r="C9" s="17"/>
      <c r="D9" s="455">
        <v>2014</v>
      </c>
    </row>
    <row r="10" spans="2:17" s="17" customFormat="1" ht="16.5" customHeight="1"/>
    <row r="11" spans="2:17" s="17" customFormat="1" ht="36.75" customHeight="1">
      <c r="B11" s="865" t="s">
        <v>753</v>
      </c>
      <c r="C11" s="865"/>
      <c r="D11" s="865"/>
      <c r="E11" s="865"/>
      <c r="F11" s="865"/>
      <c r="G11" s="865"/>
      <c r="H11" s="865"/>
      <c r="I11" s="865"/>
      <c r="J11" s="865"/>
      <c r="K11" s="865"/>
      <c r="L11" s="865"/>
      <c r="M11" s="865"/>
      <c r="N11" s="613"/>
      <c r="O11" s="613"/>
      <c r="P11" s="613"/>
      <c r="Q11" s="613"/>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GS&gt;50kW</v>
      </c>
      <c r="G13" s="243" t="str">
        <f>'1.  LRAMVA Summary'!G52</f>
        <v>Street Lighting</v>
      </c>
      <c r="H13" s="243" t="str">
        <f>'1.  LRAMVA Summary'!H52</f>
        <v>Unmetered Scattered Load</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kw</v>
      </c>
      <c r="H14" s="578" t="str">
        <f>'1.  LRAMVA Summary'!H53</f>
        <v>kWh</v>
      </c>
      <c r="I14" s="578">
        <f>'1.  LRAMVA Summary'!I53</f>
        <v>0</v>
      </c>
      <c r="J14" s="578">
        <f>'1.  LRAMVA Summary'!J53</f>
        <v>0</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6" customFormat="1" ht="15.75" customHeight="1">
      <c r="B15" s="461" t="s">
        <v>27</v>
      </c>
      <c r="C15" s="625">
        <f>SUM(D15:Q15)</f>
        <v>0</v>
      </c>
      <c r="D15" s="451"/>
      <c r="E15" s="451"/>
      <c r="F15" s="451"/>
      <c r="G15" s="451"/>
      <c r="H15" s="451"/>
      <c r="I15" s="451"/>
      <c r="J15" s="451"/>
      <c r="K15" s="451"/>
      <c r="L15" s="451"/>
      <c r="M15" s="451"/>
      <c r="N15" s="451"/>
      <c r="O15" s="451"/>
      <c r="P15" s="452"/>
      <c r="Q15" s="452"/>
    </row>
    <row r="16" spans="2:17" s="456" customFormat="1" ht="15.75" customHeight="1">
      <c r="B16" s="461" t="s">
        <v>28</v>
      </c>
      <c r="C16" s="625">
        <f>SUM(D16:Q16)</f>
        <v>0</v>
      </c>
      <c r="D16" s="450"/>
      <c r="E16" s="450"/>
      <c r="F16" s="450"/>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670</v>
      </c>
      <c r="C20" s="453"/>
      <c r="D20" s="454"/>
    </row>
    <row r="21" spans="2:17" s="438" customFormat="1" ht="21" customHeight="1">
      <c r="B21" s="460" t="s">
        <v>366</v>
      </c>
      <c r="C21" s="453" t="s">
        <v>413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2014</v>
      </c>
    </row>
    <row r="25" spans="2:17" s="2" customFormat="1" ht="15.75" customHeight="1">
      <c r="D25" s="20"/>
    </row>
    <row r="26" spans="2:17" s="2" customFormat="1" ht="42" customHeight="1">
      <c r="B26" s="865" t="s">
        <v>753</v>
      </c>
      <c r="C26" s="865"/>
      <c r="D26" s="865"/>
      <c r="E26" s="865"/>
      <c r="F26" s="865"/>
      <c r="G26" s="865"/>
      <c r="H26" s="865"/>
      <c r="I26" s="865"/>
      <c r="J26" s="865"/>
      <c r="K26" s="865"/>
      <c r="L26" s="865"/>
      <c r="M26" s="865"/>
      <c r="N26" s="613"/>
      <c r="O26" s="613"/>
      <c r="P26" s="613"/>
      <c r="Q26" s="613"/>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GS&gt;50kW</v>
      </c>
      <c r="G28" s="243" t="str">
        <f>'1.  LRAMVA Summary'!G52</f>
        <v>Street Lighting</v>
      </c>
      <c r="H28" s="243" t="str">
        <f>'1.  LRAMVA Summary'!H52</f>
        <v>Unmetered Scattered Load</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v>
      </c>
      <c r="H29" s="578" t="str">
        <f>'1.  LRAMVA Summary'!H53</f>
        <v>kWh</v>
      </c>
      <c r="I29" s="578">
        <f>'1.  LRAMVA Summary'!I53</f>
        <v>0</v>
      </c>
      <c r="J29" s="578">
        <f>'1.  LRAMVA Summary'!J53</f>
        <v>0</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6" customFormat="1" ht="15.75" customHeight="1">
      <c r="B30" s="461" t="s">
        <v>27</v>
      </c>
      <c r="C30" s="625">
        <f>SUM(D30:Q30)</f>
        <v>1798705</v>
      </c>
      <c r="D30" s="462">
        <v>507965</v>
      </c>
      <c r="E30" s="462">
        <v>183232</v>
      </c>
      <c r="F30" s="462">
        <v>365183</v>
      </c>
      <c r="G30" s="462">
        <v>741653</v>
      </c>
      <c r="H30" s="462">
        <v>672</v>
      </c>
      <c r="I30" s="462"/>
      <c r="J30" s="462"/>
      <c r="K30" s="462"/>
      <c r="L30" s="462"/>
      <c r="M30" s="462"/>
      <c r="N30" s="462"/>
      <c r="O30" s="462"/>
      <c r="P30" s="462"/>
      <c r="Q30" s="452"/>
    </row>
    <row r="31" spans="2:17" s="463" customFormat="1" ht="15" customHeight="1">
      <c r="B31" s="461" t="s">
        <v>28</v>
      </c>
      <c r="C31" s="625">
        <f>SUM(D31:Q31)</f>
        <v>3040</v>
      </c>
      <c r="D31" s="450"/>
      <c r="E31" s="450"/>
      <c r="F31" s="450">
        <v>909</v>
      </c>
      <c r="G31" s="450">
        <v>2131</v>
      </c>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507965</v>
      </c>
      <c r="E33" s="192">
        <f>IF(E29="kw",HLOOKUP(E29,E29:E31,3,FALSE),HLOOKUP(E29,E29:E31,2,FALSE))</f>
        <v>183232</v>
      </c>
      <c r="F33" s="192">
        <f>IF(F29="kw",HLOOKUP(F29,F29:F31,3,FALSE),HLOOKUP(F29,F29:F31,2,FALSE))</f>
        <v>909</v>
      </c>
      <c r="G33" s="192">
        <f>IF(G29="kw",HLOOKUP(G29,G29:G31,3,FALSE),HLOOKUP(G29,G29:G31,2,FALSE))</f>
        <v>2131</v>
      </c>
      <c r="H33" s="192">
        <f t="shared" ref="H33:Q33" si="2">IF(H29="kw",HLOOKUP(H29,H29:H31,3,FALSE),HLOOKUP(H29,H29:H31,2,FALSE))</f>
        <v>672</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670</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6">
      <c r="B39" s="118" t="s">
        <v>453</v>
      </c>
      <c r="C39" s="35"/>
      <c r="D39" s="34"/>
      <c r="E39" s="39"/>
      <c r="F39" s="40"/>
    </row>
    <row r="40" spans="2:32" s="70" customFormat="1" ht="39" customHeight="1">
      <c r="B40" s="865" t="s">
        <v>607</v>
      </c>
      <c r="C40" s="865"/>
      <c r="D40" s="865"/>
      <c r="E40" s="865"/>
      <c r="F40" s="865"/>
      <c r="G40" s="865"/>
      <c r="H40" s="865"/>
      <c r="I40" s="865"/>
      <c r="J40" s="865"/>
      <c r="K40" s="865"/>
      <c r="L40" s="865"/>
      <c r="M40" s="865"/>
      <c r="N40" s="613"/>
      <c r="O40" s="613"/>
      <c r="P40" s="613"/>
      <c r="Q40" s="613"/>
    </row>
    <row r="41" spans="2:32" s="2" customFormat="1" ht="16.5" customHeight="1">
      <c r="B41" s="10"/>
      <c r="C41" s="10"/>
      <c r="D41" s="22"/>
      <c r="E41" s="20"/>
      <c r="F41" s="20"/>
      <c r="G41" s="20"/>
      <c r="R41" s="20"/>
    </row>
    <row r="42" spans="2:32" s="17" customFormat="1" ht="56.25" customHeight="1">
      <c r="B42" s="243" t="s">
        <v>234</v>
      </c>
      <c r="C42" s="243" t="s">
        <v>604</v>
      </c>
      <c r="D42" s="243" t="str">
        <f>'1.  LRAMVA Summary'!D52</f>
        <v>Residential</v>
      </c>
      <c r="E42" s="243" t="str">
        <f>'1.  LRAMVA Summary'!E52</f>
        <v>GS&lt;50 kW</v>
      </c>
      <c r="F42" s="243" t="str">
        <f>'1.  LRAMVA Summary'!F52</f>
        <v>GS&gt;50kW</v>
      </c>
      <c r="G42" s="243" t="str">
        <f>'1.  LRAMVA Summary'!G52</f>
        <v>Street Lighting</v>
      </c>
      <c r="H42" s="243" t="str">
        <f>'1.  LRAMVA Summary'!H52</f>
        <v>Unmetered Scattered Load</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kw</v>
      </c>
      <c r="H43" s="582" t="str">
        <f>'1.  LRAMVA Summary'!H53</f>
        <v>kWh</v>
      </c>
      <c r="I43" s="582">
        <f>'1.  LRAMVA Summary'!I53</f>
        <v>0</v>
      </c>
      <c r="J43" s="582">
        <f>'1.  LRAMVA Summary'!J53</f>
        <v>0</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6">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6">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6">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6">
      <c r="B47" s="171">
        <v>2014</v>
      </c>
      <c r="C47" s="534">
        <v>2014</v>
      </c>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6">
      <c r="B48" s="171">
        <v>2015</v>
      </c>
      <c r="C48" s="534">
        <v>2014</v>
      </c>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6">
      <c r="B49" s="171">
        <v>2016</v>
      </c>
      <c r="C49" s="534">
        <v>2014</v>
      </c>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6">
      <c r="B50" s="171">
        <v>2017</v>
      </c>
      <c r="C50" s="534">
        <v>2014</v>
      </c>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6">
      <c r="B51" s="171">
        <v>2018</v>
      </c>
      <c r="C51" s="534">
        <v>2014</v>
      </c>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6">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6"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537</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49"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15" activePane="bottomLeft" state="frozen"/>
      <selection pane="bottomLeft" activeCell="F26" sqref="F26"/>
    </sheetView>
  </sheetViews>
  <sheetFormatPr defaultColWidth="9.109375" defaultRowHeight="14.4" outlineLevelRow="1"/>
  <cols>
    <col min="1" max="1" width="6.5546875" style="4" customWidth="1"/>
    <col min="2" max="2" width="36.5546875" style="5" customWidth="1"/>
    <col min="3" max="3" width="16.88671875" style="78" customWidth="1"/>
    <col min="4" max="5" width="17.88671875" style="5" customWidth="1"/>
    <col min="6" max="6" width="18.5546875" style="5" customWidth="1"/>
    <col min="7" max="8" width="15.44140625" style="5" customWidth="1"/>
    <col min="9" max="9" width="17.33203125" style="5" customWidth="1"/>
    <col min="10" max="13" width="15.88671875" style="5" customWidth="1"/>
    <col min="14" max="14" width="18.88671875" style="5" customWidth="1"/>
    <col min="15" max="15" width="16.5546875" style="5" customWidth="1"/>
    <col min="16" max="16" width="17.109375" style="5" customWidth="1"/>
    <col min="17" max="16384" width="9.1093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71" t="s">
        <v>171</v>
      </c>
      <c r="C4" s="85" t="s">
        <v>175</v>
      </c>
      <c r="D4" s="85"/>
      <c r="E4" s="49"/>
    </row>
    <row r="5" spans="1:26" s="18" customFormat="1" ht="26.25" hidden="1" customHeight="1" outlineLevel="1" thickBot="1">
      <c r="A5" s="4"/>
      <c r="B5" s="871"/>
      <c r="C5" s="86" t="s">
        <v>172</v>
      </c>
      <c r="D5" s="86"/>
      <c r="E5" s="49"/>
    </row>
    <row r="6" spans="1:26" ht="26.25" hidden="1" customHeight="1" outlineLevel="1" thickBot="1">
      <c r="B6" s="871"/>
      <c r="C6" s="874" t="s">
        <v>552</v>
      </c>
      <c r="D6" s="875"/>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528</v>
      </c>
      <c r="C8" s="593" t="s">
        <v>482</v>
      </c>
      <c r="D8" s="592"/>
      <c r="M8" s="6"/>
      <c r="N8" s="6"/>
      <c r="O8" s="6"/>
      <c r="P8" s="6"/>
      <c r="Q8" s="6"/>
      <c r="R8" s="6"/>
      <c r="S8" s="6"/>
      <c r="T8" s="6"/>
      <c r="U8" s="6"/>
      <c r="V8" s="6"/>
      <c r="W8" s="6"/>
      <c r="X8" s="6"/>
      <c r="Y8" s="6"/>
      <c r="Z8" s="6"/>
    </row>
    <row r="9" spans="1:26" s="18" customFormat="1" ht="19.5" hidden="1" customHeight="1" outlineLevel="1">
      <c r="A9" s="4"/>
      <c r="B9" s="540"/>
      <c r="C9" s="593" t="s">
        <v>529</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1"/>
    </row>
    <row r="12" spans="1:26" ht="58.5" customHeight="1">
      <c r="B12" s="869" t="s">
        <v>615</v>
      </c>
      <c r="C12" s="869"/>
      <c r="D12" s="869"/>
      <c r="E12" s="869"/>
      <c r="F12" s="869"/>
      <c r="G12" s="869"/>
      <c r="H12" s="869"/>
      <c r="I12" s="869"/>
      <c r="J12" s="869"/>
      <c r="K12" s="869"/>
      <c r="L12" s="869"/>
      <c r="M12" s="869"/>
      <c r="N12" s="869"/>
      <c r="O12" s="869"/>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1" t="s">
        <v>41</v>
      </c>
      <c r="D14" s="472" t="s">
        <v>756</v>
      </c>
      <c r="E14" s="472" t="s">
        <v>757</v>
      </c>
      <c r="F14" s="472" t="s">
        <v>758</v>
      </c>
      <c r="G14" s="472" t="s">
        <v>759</v>
      </c>
      <c r="H14" s="472" t="s">
        <v>760</v>
      </c>
      <c r="I14" s="472" t="s">
        <v>761</v>
      </c>
      <c r="J14" s="472" t="s">
        <v>762</v>
      </c>
      <c r="K14" s="472" t="s">
        <v>763</v>
      </c>
      <c r="L14" s="472" t="s">
        <v>764</v>
      </c>
      <c r="M14" s="472" t="s">
        <v>765</v>
      </c>
      <c r="N14" s="472" t="s">
        <v>564</v>
      </c>
      <c r="O14" s="472" t="s">
        <v>565</v>
      </c>
      <c r="P14" s="7"/>
    </row>
    <row r="15" spans="1:26" s="7" customFormat="1" ht="18.75" customHeight="1">
      <c r="B15" s="473" t="s">
        <v>188</v>
      </c>
      <c r="C15" s="872"/>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560</v>
      </c>
      <c r="C16" s="867"/>
      <c r="D16" s="477">
        <v>4</v>
      </c>
      <c r="E16" s="477">
        <v>4</v>
      </c>
      <c r="F16" s="477">
        <v>4</v>
      </c>
      <c r="G16" s="477">
        <v>4</v>
      </c>
      <c r="H16" s="477">
        <v>4</v>
      </c>
      <c r="I16" s="477">
        <v>4</v>
      </c>
      <c r="J16" s="477">
        <v>4</v>
      </c>
      <c r="K16" s="477">
        <v>4</v>
      </c>
      <c r="L16" s="477">
        <v>4</v>
      </c>
      <c r="M16" s="477">
        <v>4</v>
      </c>
      <c r="N16" s="477"/>
      <c r="O16" s="478"/>
    </row>
    <row r="17" spans="1:15" s="111" customFormat="1" ht="17.25" customHeight="1">
      <c r="B17" s="479" t="s">
        <v>561</v>
      </c>
      <c r="C17" s="873"/>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80" t="str">
        <f>'1.  LRAMVA Summary'!B29</f>
        <v>Residential</v>
      </c>
      <c r="C18" s="866" t="str">
        <f>'2. LRAMVA Threshold'!D43</f>
        <v>kWh</v>
      </c>
      <c r="D18" s="758">
        <v>8.6999999999999994E-3</v>
      </c>
      <c r="E18" s="758">
        <v>8.6999999999999994E-3</v>
      </c>
      <c r="F18" s="758">
        <v>8.8000000000000005E-3</v>
      </c>
      <c r="G18" s="758">
        <v>8.8000000000000005E-3</v>
      </c>
      <c r="H18" s="758">
        <v>1.3599999999999999E-2</v>
      </c>
      <c r="I18" s="758">
        <v>1.38E-2</v>
      </c>
      <c r="J18" s="758">
        <v>1.06E-2</v>
      </c>
      <c r="K18" s="758">
        <v>7.1999999999999998E-3</v>
      </c>
      <c r="L18" s="758">
        <v>3.5999999999999999E-3</v>
      </c>
      <c r="M18" s="46"/>
      <c r="N18" s="46"/>
      <c r="O18" s="69"/>
    </row>
    <row r="19" spans="1:15" s="7" customFormat="1" ht="15" customHeight="1" outlineLevel="1">
      <c r="B19" s="536" t="s">
        <v>512</v>
      </c>
      <c r="C19" s="867"/>
      <c r="D19" s="46"/>
      <c r="E19" s="46"/>
      <c r="F19" s="46"/>
      <c r="G19" s="46"/>
      <c r="H19" s="46"/>
      <c r="I19" s="46"/>
      <c r="J19" s="46"/>
      <c r="K19" s="46"/>
      <c r="L19" s="46"/>
      <c r="M19" s="46"/>
      <c r="N19" s="46"/>
      <c r="O19" s="69"/>
    </row>
    <row r="20" spans="1:15" s="7" customFormat="1" ht="15" customHeight="1" outlineLevel="1">
      <c r="B20" s="536" t="s">
        <v>513</v>
      </c>
      <c r="C20" s="867"/>
      <c r="D20" s="46"/>
      <c r="E20" s="46"/>
      <c r="F20" s="46"/>
      <c r="G20" s="46"/>
      <c r="H20" s="46"/>
      <c r="I20" s="46"/>
      <c r="J20" s="46"/>
      <c r="K20" s="46"/>
      <c r="L20" s="46"/>
      <c r="M20" s="46"/>
      <c r="N20" s="46"/>
      <c r="O20" s="69"/>
    </row>
    <row r="21" spans="1:15" s="7" customFormat="1" ht="15" customHeight="1" outlineLevel="1">
      <c r="B21" s="536" t="s">
        <v>490</v>
      </c>
      <c r="C21" s="867"/>
      <c r="D21" s="46"/>
      <c r="E21" s="46"/>
      <c r="F21" s="46"/>
      <c r="G21" s="46"/>
      <c r="H21" s="46"/>
      <c r="I21" s="46"/>
      <c r="J21" s="46"/>
      <c r="K21" s="46"/>
      <c r="L21" s="46"/>
      <c r="M21" s="46"/>
      <c r="N21" s="46"/>
      <c r="O21" s="69"/>
    </row>
    <row r="22" spans="1:15" s="7" customFormat="1" ht="14.25" customHeight="1">
      <c r="B22" s="536" t="s">
        <v>514</v>
      </c>
      <c r="C22" s="868"/>
      <c r="D22" s="65">
        <f>SUM(D18:D21)</f>
        <v>8.6999999999999994E-3</v>
      </c>
      <c r="E22" s="65">
        <f>SUM(E18:E21)</f>
        <v>8.6999999999999994E-3</v>
      </c>
      <c r="F22" s="65">
        <f>SUM(F18:F21)</f>
        <v>8.8000000000000005E-3</v>
      </c>
      <c r="G22" s="65">
        <f t="shared" ref="G22:N22" si="2">SUM(G18:G21)</f>
        <v>8.8000000000000005E-3</v>
      </c>
      <c r="H22" s="65">
        <f t="shared" si="2"/>
        <v>1.3599999999999999E-2</v>
      </c>
      <c r="I22" s="65">
        <f t="shared" si="2"/>
        <v>1.38E-2</v>
      </c>
      <c r="J22" s="65">
        <f t="shared" si="2"/>
        <v>1.06E-2</v>
      </c>
      <c r="K22" s="65">
        <f t="shared" si="2"/>
        <v>7.1999999999999998E-3</v>
      </c>
      <c r="L22" s="65">
        <f t="shared" si="2"/>
        <v>3.5999999999999999E-3</v>
      </c>
      <c r="M22" s="65">
        <f t="shared" si="2"/>
        <v>0</v>
      </c>
      <c r="N22" s="65">
        <f t="shared" si="2"/>
        <v>0</v>
      </c>
      <c r="O22" s="76"/>
    </row>
    <row r="23" spans="1:15" s="63" customFormat="1">
      <c r="A23" s="62"/>
      <c r="B23" s="492" t="s">
        <v>515</v>
      </c>
      <c r="C23" s="482"/>
      <c r="D23" s="483"/>
      <c r="E23" s="484">
        <f>ROUND(SUM(D22*E16+E22*E17)/12,4)</f>
        <v>8.6999999999999994E-3</v>
      </c>
      <c r="F23" s="484">
        <f>ROUND(SUM(E22*F16+F22*F17)/12,4)</f>
        <v>8.8000000000000005E-3</v>
      </c>
      <c r="G23" s="484">
        <f>ROUND(SUM(F22*G16+G22*G17)/12,4)</f>
        <v>8.8000000000000005E-3</v>
      </c>
      <c r="H23" s="484">
        <f>ROUND(SUM(G22*H16+H22*H17)/12,4)</f>
        <v>1.2E-2</v>
      </c>
      <c r="I23" s="484">
        <f>ROUND(SUM(H22*I16+I22*I17)/12,4)</f>
        <v>1.37E-2</v>
      </c>
      <c r="J23" s="484">
        <f t="shared" ref="J23:N23" si="3">ROUND(SUM(I22*J16+J22*J17)/12,4)</f>
        <v>1.17E-2</v>
      </c>
      <c r="K23" s="484">
        <f t="shared" si="3"/>
        <v>8.3000000000000001E-3</v>
      </c>
      <c r="L23" s="484">
        <f t="shared" si="3"/>
        <v>4.7999999999999996E-3</v>
      </c>
      <c r="M23" s="484">
        <f t="shared" si="3"/>
        <v>1.1999999999999999E-3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3" t="str">
        <f>'1.  LRAMVA Summary'!B30</f>
        <v>GS&lt;50 kW</v>
      </c>
      <c r="C25" s="866" t="str">
        <f>'2. LRAMVA Threshold'!E43</f>
        <v>kWh</v>
      </c>
      <c r="D25" s="759">
        <v>6.4999999999999997E-3</v>
      </c>
      <c r="E25" s="759">
        <v>6.4999999999999997E-3</v>
      </c>
      <c r="F25" s="759">
        <v>6.6E-3</v>
      </c>
      <c r="G25" s="759">
        <v>6.6E-3</v>
      </c>
      <c r="H25" s="759">
        <v>9.7999999999999997E-3</v>
      </c>
      <c r="I25" s="759">
        <v>9.9000000000000008E-3</v>
      </c>
      <c r="J25" s="759">
        <v>1.06E-2</v>
      </c>
      <c r="K25" s="759">
        <v>1.03E-2</v>
      </c>
      <c r="L25" s="759">
        <v>1.04E-2</v>
      </c>
      <c r="M25" s="759">
        <v>1.0500000000000001E-2</v>
      </c>
      <c r="N25" s="46"/>
      <c r="O25" s="69"/>
    </row>
    <row r="26" spans="1:15" s="18" customFormat="1" outlineLevel="1">
      <c r="A26" s="4"/>
      <c r="B26" s="536" t="s">
        <v>512</v>
      </c>
      <c r="C26" s="867"/>
      <c r="D26" s="46"/>
      <c r="E26" s="46"/>
      <c r="F26" s="46"/>
      <c r="G26" s="46"/>
      <c r="H26" s="46"/>
      <c r="I26" s="46"/>
      <c r="J26" s="46"/>
      <c r="K26" s="46"/>
      <c r="L26" s="46"/>
      <c r="M26" s="46"/>
      <c r="N26" s="46"/>
      <c r="O26" s="69"/>
    </row>
    <row r="27" spans="1:15" s="18" customFormat="1" outlineLevel="1">
      <c r="A27" s="4"/>
      <c r="B27" s="536" t="s">
        <v>513</v>
      </c>
      <c r="C27" s="867"/>
      <c r="D27" s="46"/>
      <c r="E27" s="46"/>
      <c r="F27" s="46"/>
      <c r="G27" s="46"/>
      <c r="H27" s="46"/>
      <c r="I27" s="46"/>
      <c r="J27" s="46"/>
      <c r="K27" s="46"/>
      <c r="L27" s="46"/>
      <c r="M27" s="46"/>
      <c r="N27" s="46"/>
      <c r="O27" s="69"/>
    </row>
    <row r="28" spans="1:15" s="18" customFormat="1" outlineLevel="1">
      <c r="A28" s="4"/>
      <c r="B28" s="536" t="s">
        <v>490</v>
      </c>
      <c r="C28" s="867"/>
      <c r="D28" s="46"/>
      <c r="E28" s="46"/>
      <c r="F28" s="46"/>
      <c r="G28" s="46"/>
      <c r="H28" s="46"/>
      <c r="I28" s="46"/>
      <c r="J28" s="46"/>
      <c r="K28" s="46"/>
      <c r="L28" s="46"/>
      <c r="M28" s="46"/>
      <c r="N28" s="46"/>
      <c r="O28" s="69"/>
    </row>
    <row r="29" spans="1:15" s="18" customFormat="1">
      <c r="A29" s="4"/>
      <c r="B29" s="536" t="s">
        <v>514</v>
      </c>
      <c r="C29" s="868"/>
      <c r="D29" s="65">
        <f>SUM(D25:D28)</f>
        <v>6.4999999999999997E-3</v>
      </c>
      <c r="E29" s="65">
        <f t="shared" ref="E29:N29" si="4">SUM(E25:E28)</f>
        <v>6.4999999999999997E-3</v>
      </c>
      <c r="F29" s="65">
        <f t="shared" si="4"/>
        <v>6.6E-3</v>
      </c>
      <c r="G29" s="65">
        <f t="shared" si="4"/>
        <v>6.6E-3</v>
      </c>
      <c r="H29" s="65">
        <f t="shared" si="4"/>
        <v>9.7999999999999997E-3</v>
      </c>
      <c r="I29" s="65">
        <f t="shared" si="4"/>
        <v>9.9000000000000008E-3</v>
      </c>
      <c r="J29" s="65">
        <f t="shared" si="4"/>
        <v>1.06E-2</v>
      </c>
      <c r="K29" s="65">
        <f t="shared" si="4"/>
        <v>1.03E-2</v>
      </c>
      <c r="L29" s="65">
        <f t="shared" si="4"/>
        <v>1.04E-2</v>
      </c>
      <c r="M29" s="65">
        <f t="shared" si="4"/>
        <v>1.0500000000000001E-2</v>
      </c>
      <c r="N29" s="65">
        <f t="shared" si="4"/>
        <v>0</v>
      </c>
      <c r="O29" s="76"/>
    </row>
    <row r="30" spans="1:15" s="18" customFormat="1">
      <c r="A30" s="4"/>
      <c r="B30" s="492" t="s">
        <v>515</v>
      </c>
      <c r="C30" s="488"/>
      <c r="D30" s="71"/>
      <c r="E30" s="484">
        <f>ROUND(SUM(D29*E16+E29*E17)/12,4)</f>
        <v>6.4999999999999997E-3</v>
      </c>
      <c r="F30" s="484">
        <f t="shared" ref="F30:N30" si="5">ROUND(SUM(E29*F16+F29*F17)/12,4)</f>
        <v>6.6E-3</v>
      </c>
      <c r="G30" s="484">
        <f t="shared" si="5"/>
        <v>6.6E-3</v>
      </c>
      <c r="H30" s="484">
        <f t="shared" si="5"/>
        <v>8.6999999999999994E-3</v>
      </c>
      <c r="I30" s="484">
        <f t="shared" si="5"/>
        <v>9.9000000000000008E-3</v>
      </c>
      <c r="J30" s="484">
        <f>ROUND(SUM(I29*J16+J29*J17)/12,4)</f>
        <v>1.04E-2</v>
      </c>
      <c r="K30" s="484">
        <f t="shared" si="5"/>
        <v>1.04E-2</v>
      </c>
      <c r="L30" s="484">
        <f t="shared" si="5"/>
        <v>1.04E-2</v>
      </c>
      <c r="M30" s="484">
        <f t="shared" si="5"/>
        <v>1.0500000000000001E-2</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3" t="str">
        <f>'1.  LRAMVA Summary'!B31</f>
        <v>GS&gt;50kW</v>
      </c>
      <c r="C32" s="866" t="str">
        <f>'2. LRAMVA Threshold'!F43</f>
        <v>kw</v>
      </c>
      <c r="D32" s="760">
        <v>3.5352999999999999</v>
      </c>
      <c r="E32" s="760">
        <v>3.35459</v>
      </c>
      <c r="F32" s="760">
        <v>3.5771000000000002</v>
      </c>
      <c r="G32" s="760">
        <v>3.5943000000000001</v>
      </c>
      <c r="H32" s="760">
        <v>2.5802999999999998</v>
      </c>
      <c r="I32" s="760">
        <v>2.6137999999999999</v>
      </c>
      <c r="J32" s="760">
        <v>2.6608000000000001</v>
      </c>
      <c r="K32" s="760">
        <v>2.7033999999999998</v>
      </c>
      <c r="L32" s="760">
        <v>2.7277</v>
      </c>
      <c r="M32" s="760">
        <v>2.7604000000000002</v>
      </c>
      <c r="N32" s="46"/>
      <c r="O32" s="69"/>
    </row>
    <row r="33" spans="1:15" s="18" customFormat="1" outlineLevel="1">
      <c r="A33" s="4"/>
      <c r="B33" s="536" t="s">
        <v>512</v>
      </c>
      <c r="C33" s="867"/>
      <c r="D33" s="46"/>
      <c r="E33" s="46"/>
      <c r="F33" s="46"/>
      <c r="G33" s="46"/>
      <c r="H33" s="46"/>
      <c r="I33" s="46"/>
      <c r="J33" s="46"/>
      <c r="K33" s="46"/>
      <c r="L33" s="46"/>
      <c r="M33" s="46"/>
      <c r="N33" s="46"/>
      <c r="O33" s="69"/>
    </row>
    <row r="34" spans="1:15" s="18" customFormat="1" outlineLevel="1">
      <c r="A34" s="4"/>
      <c r="B34" s="536" t="s">
        <v>513</v>
      </c>
      <c r="C34" s="867"/>
      <c r="D34" s="46"/>
      <c r="E34" s="46"/>
      <c r="F34" s="46"/>
      <c r="G34" s="46"/>
      <c r="H34" s="46"/>
      <c r="I34" s="46"/>
      <c r="J34" s="46"/>
      <c r="K34" s="46"/>
      <c r="L34" s="46"/>
      <c r="M34" s="46"/>
      <c r="N34" s="46"/>
      <c r="O34" s="69"/>
    </row>
    <row r="35" spans="1:15" s="18" customFormat="1" outlineLevel="1">
      <c r="A35" s="4"/>
      <c r="B35" s="536" t="s">
        <v>490</v>
      </c>
      <c r="C35" s="867"/>
      <c r="D35" s="46"/>
      <c r="E35" s="46"/>
      <c r="F35" s="46"/>
      <c r="G35" s="46"/>
      <c r="H35" s="46"/>
      <c r="I35" s="46"/>
      <c r="J35" s="46"/>
      <c r="K35" s="46"/>
      <c r="L35" s="46"/>
      <c r="M35" s="46"/>
      <c r="N35" s="46"/>
      <c r="O35" s="69"/>
    </row>
    <row r="36" spans="1:15" s="18" customFormat="1">
      <c r="A36" s="4"/>
      <c r="B36" s="536" t="s">
        <v>514</v>
      </c>
      <c r="C36" s="868"/>
      <c r="D36" s="65">
        <f>SUM(D32:D35)</f>
        <v>3.5352999999999999</v>
      </c>
      <c r="E36" s="65">
        <f>SUM(E32:E35)</f>
        <v>3.35459</v>
      </c>
      <c r="F36" s="65">
        <f t="shared" ref="F36:M36" si="6">SUM(F32:F35)</f>
        <v>3.5771000000000002</v>
      </c>
      <c r="G36" s="65">
        <f t="shared" si="6"/>
        <v>3.5943000000000001</v>
      </c>
      <c r="H36" s="65">
        <f t="shared" si="6"/>
        <v>2.5802999999999998</v>
      </c>
      <c r="I36" s="65">
        <f t="shared" si="6"/>
        <v>2.6137999999999999</v>
      </c>
      <c r="J36" s="65">
        <f t="shared" si="6"/>
        <v>2.6608000000000001</v>
      </c>
      <c r="K36" s="65">
        <f t="shared" si="6"/>
        <v>2.7033999999999998</v>
      </c>
      <c r="L36" s="65">
        <f t="shared" si="6"/>
        <v>2.7277</v>
      </c>
      <c r="M36" s="65">
        <f t="shared" si="6"/>
        <v>2.7604000000000002</v>
      </c>
      <c r="N36" s="65">
        <f>SUM(N32:N35)</f>
        <v>0</v>
      </c>
      <c r="O36" s="76"/>
    </row>
    <row r="37" spans="1:15" s="18" customFormat="1">
      <c r="A37" s="4"/>
      <c r="B37" s="492" t="s">
        <v>515</v>
      </c>
      <c r="C37" s="488"/>
      <c r="D37" s="71"/>
      <c r="E37" s="484">
        <f t="shared" ref="E37:N37" si="7">ROUND(SUM(D36*E16+E36*E17)/12,4)</f>
        <v>3.4148000000000001</v>
      </c>
      <c r="F37" s="484">
        <f t="shared" si="7"/>
        <v>3.5028999999999999</v>
      </c>
      <c r="G37" s="484">
        <f t="shared" si="7"/>
        <v>3.5886</v>
      </c>
      <c r="H37" s="484">
        <f t="shared" si="7"/>
        <v>2.9182999999999999</v>
      </c>
      <c r="I37" s="484">
        <f t="shared" si="7"/>
        <v>2.6025999999999998</v>
      </c>
      <c r="J37" s="484">
        <f t="shared" si="7"/>
        <v>2.6450999999999998</v>
      </c>
      <c r="K37" s="484">
        <f t="shared" si="7"/>
        <v>2.6892</v>
      </c>
      <c r="L37" s="484">
        <f t="shared" si="7"/>
        <v>2.7195999999999998</v>
      </c>
      <c r="M37" s="484">
        <f t="shared" si="7"/>
        <v>2.7494999999999998</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3" t="str">
        <f>'1.  LRAMVA Summary'!B32</f>
        <v>Street Lighting</v>
      </c>
      <c r="C39" s="866" t="str">
        <f>'2. LRAMVA Threshold'!G43</f>
        <v>kw</v>
      </c>
      <c r="D39" s="761">
        <v>3.0007999999999999</v>
      </c>
      <c r="E39" s="761">
        <v>3.0097999999999998</v>
      </c>
      <c r="F39" s="761">
        <v>3.0363000000000002</v>
      </c>
      <c r="G39" s="761">
        <v>3.0508999999999999</v>
      </c>
      <c r="H39" s="761">
        <v>4.1380999999999997</v>
      </c>
      <c r="I39" s="761">
        <v>4.1919000000000004</v>
      </c>
      <c r="J39" s="761">
        <v>4.2674000000000003</v>
      </c>
      <c r="K39" s="761">
        <v>4.3357000000000001</v>
      </c>
      <c r="L39" s="761">
        <v>4.3746999999999998</v>
      </c>
      <c r="M39" s="761">
        <v>4.4272</v>
      </c>
      <c r="N39" s="46"/>
      <c r="O39" s="69"/>
    </row>
    <row r="40" spans="1:15" s="18" customFormat="1" outlineLevel="1">
      <c r="A40" s="4"/>
      <c r="B40" s="536" t="s">
        <v>512</v>
      </c>
      <c r="C40" s="867"/>
      <c r="D40" s="46"/>
      <c r="E40" s="46"/>
      <c r="F40" s="46"/>
      <c r="G40" s="46"/>
      <c r="H40" s="46"/>
      <c r="I40" s="46"/>
      <c r="J40" s="46"/>
      <c r="K40" s="46"/>
      <c r="L40" s="46"/>
      <c r="M40" s="46"/>
      <c r="N40" s="46"/>
      <c r="O40" s="69"/>
    </row>
    <row r="41" spans="1:15" s="18" customFormat="1" outlineLevel="1">
      <c r="A41" s="4"/>
      <c r="B41" s="536" t="s">
        <v>513</v>
      </c>
      <c r="C41" s="867"/>
      <c r="D41" s="46"/>
      <c r="E41" s="46"/>
      <c r="F41" s="46"/>
      <c r="G41" s="46"/>
      <c r="H41" s="46"/>
      <c r="I41" s="46"/>
      <c r="J41" s="46"/>
      <c r="K41" s="46"/>
      <c r="L41" s="46"/>
      <c r="M41" s="46"/>
      <c r="N41" s="46"/>
      <c r="O41" s="69"/>
    </row>
    <row r="42" spans="1:15" s="18" customFormat="1" outlineLevel="1">
      <c r="A42" s="4"/>
      <c r="B42" s="536" t="s">
        <v>490</v>
      </c>
      <c r="C42" s="867"/>
      <c r="D42" s="46"/>
      <c r="E42" s="46"/>
      <c r="F42" s="46"/>
      <c r="G42" s="46"/>
      <c r="H42" s="46"/>
      <c r="I42" s="46"/>
      <c r="J42" s="46"/>
      <c r="K42" s="46"/>
      <c r="L42" s="46"/>
      <c r="M42" s="46"/>
      <c r="N42" s="46"/>
      <c r="O42" s="69"/>
    </row>
    <row r="43" spans="1:15" s="18" customFormat="1">
      <c r="A43" s="4"/>
      <c r="B43" s="536" t="s">
        <v>514</v>
      </c>
      <c r="C43" s="868"/>
      <c r="D43" s="65">
        <f>SUM(D39:D42)</f>
        <v>3.0007999999999999</v>
      </c>
      <c r="E43" s="65">
        <f t="shared" ref="E43:N43" si="8">SUM(E39:E42)</f>
        <v>3.0097999999999998</v>
      </c>
      <c r="F43" s="65">
        <f t="shared" si="8"/>
        <v>3.0363000000000002</v>
      </c>
      <c r="G43" s="65">
        <f t="shared" si="8"/>
        <v>3.0508999999999999</v>
      </c>
      <c r="H43" s="65">
        <f t="shared" si="8"/>
        <v>4.1380999999999997</v>
      </c>
      <c r="I43" s="65">
        <f t="shared" si="8"/>
        <v>4.1919000000000004</v>
      </c>
      <c r="J43" s="65">
        <f t="shared" si="8"/>
        <v>4.2674000000000003</v>
      </c>
      <c r="K43" s="65">
        <f t="shared" si="8"/>
        <v>4.3357000000000001</v>
      </c>
      <c r="L43" s="65">
        <f t="shared" si="8"/>
        <v>4.3746999999999998</v>
      </c>
      <c r="M43" s="65">
        <f t="shared" si="8"/>
        <v>4.4272</v>
      </c>
      <c r="N43" s="65">
        <f t="shared" si="8"/>
        <v>0</v>
      </c>
      <c r="O43" s="76"/>
    </row>
    <row r="44" spans="1:15" s="14" customFormat="1">
      <c r="A44" s="72"/>
      <c r="B44" s="492" t="s">
        <v>515</v>
      </c>
      <c r="C44" s="488"/>
      <c r="D44" s="71"/>
      <c r="E44" s="484">
        <f t="shared" ref="E44:N44" si="9">ROUND(SUM(D43*E16+E43*E17)/12,4)</f>
        <v>3.0068000000000001</v>
      </c>
      <c r="F44" s="484">
        <f t="shared" si="9"/>
        <v>3.0274999999999999</v>
      </c>
      <c r="G44" s="484">
        <f t="shared" si="9"/>
        <v>3.0459999999999998</v>
      </c>
      <c r="H44" s="484">
        <f t="shared" si="9"/>
        <v>3.7757000000000001</v>
      </c>
      <c r="I44" s="484">
        <f t="shared" si="9"/>
        <v>4.1740000000000004</v>
      </c>
      <c r="J44" s="484">
        <f t="shared" si="9"/>
        <v>4.2422000000000004</v>
      </c>
      <c r="K44" s="484">
        <f t="shared" si="9"/>
        <v>4.3129</v>
      </c>
      <c r="L44" s="484">
        <f t="shared" si="9"/>
        <v>4.3616999999999999</v>
      </c>
      <c r="M44" s="484">
        <f t="shared" si="9"/>
        <v>4.4097</v>
      </c>
      <c r="N44" s="484">
        <f t="shared" si="9"/>
        <v>0</v>
      </c>
      <c r="O44" s="489"/>
    </row>
    <row r="45" spans="1:15" s="70" customFormat="1">
      <c r="A45" s="72"/>
      <c r="B45" s="492"/>
      <c r="C45" s="488"/>
      <c r="D45" s="71"/>
      <c r="E45" s="71"/>
      <c r="F45" s="71"/>
      <c r="G45" s="71"/>
      <c r="H45" s="71"/>
      <c r="I45" s="71"/>
      <c r="J45" s="71"/>
      <c r="K45" s="71"/>
      <c r="L45" s="487"/>
      <c r="M45" s="487"/>
      <c r="N45" s="487"/>
      <c r="O45" s="493"/>
    </row>
    <row r="46" spans="1:15" s="64" customFormat="1">
      <c r="A46" s="62"/>
      <c r="B46" s="603" t="str">
        <f>'1.  LRAMVA Summary'!B33</f>
        <v>Unmetered Scattered Load</v>
      </c>
      <c r="C46" s="866" t="str">
        <f>'2. LRAMVA Threshold'!H43</f>
        <v>kWh</v>
      </c>
      <c r="D46" s="762">
        <v>6.4999999999999997E-3</v>
      </c>
      <c r="E46" s="762">
        <v>6.4999999999999997E-3</v>
      </c>
      <c r="F46" s="762">
        <v>6.6E-3</v>
      </c>
      <c r="G46" s="762">
        <v>6.6E-3</v>
      </c>
      <c r="H46" s="762">
        <v>8.6E-3</v>
      </c>
      <c r="I46" s="762">
        <v>8.6999999999999994E-3</v>
      </c>
      <c r="J46" s="762">
        <v>8.8999999999999999E-3</v>
      </c>
      <c r="K46" s="762">
        <v>8.9999999999999993E-3</v>
      </c>
      <c r="L46" s="762">
        <v>9.1000000000000004E-3</v>
      </c>
      <c r="M46" s="762">
        <v>9.1999999999999998E-3</v>
      </c>
      <c r="N46" s="46"/>
      <c r="O46" s="69"/>
    </row>
    <row r="47" spans="1:15" s="18" customFormat="1" outlineLevel="1">
      <c r="A47" s="4"/>
      <c r="B47" s="536" t="s">
        <v>512</v>
      </c>
      <c r="C47" s="867"/>
      <c r="D47" s="46"/>
      <c r="E47" s="46"/>
      <c r="F47" s="46"/>
      <c r="G47" s="46"/>
      <c r="H47" s="46"/>
      <c r="I47" s="46"/>
      <c r="J47" s="46"/>
      <c r="K47" s="46"/>
      <c r="L47" s="46"/>
      <c r="M47" s="46"/>
      <c r="N47" s="46"/>
      <c r="O47" s="69"/>
    </row>
    <row r="48" spans="1:15" s="18" customFormat="1" outlineLevel="1">
      <c r="A48" s="4"/>
      <c r="B48" s="536" t="s">
        <v>513</v>
      </c>
      <c r="C48" s="867"/>
      <c r="D48" s="46"/>
      <c r="E48" s="46"/>
      <c r="F48" s="46"/>
      <c r="G48" s="46"/>
      <c r="H48" s="46"/>
      <c r="I48" s="46"/>
      <c r="J48" s="46"/>
      <c r="K48" s="46"/>
      <c r="L48" s="46"/>
      <c r="M48" s="46"/>
      <c r="N48" s="46"/>
      <c r="O48" s="69"/>
    </row>
    <row r="49" spans="1:15" s="18" customFormat="1" outlineLevel="1">
      <c r="A49" s="4"/>
      <c r="B49" s="536" t="s">
        <v>490</v>
      </c>
      <c r="C49" s="867"/>
      <c r="D49" s="46"/>
      <c r="E49" s="46"/>
      <c r="F49" s="46"/>
      <c r="G49" s="46"/>
      <c r="H49" s="46"/>
      <c r="I49" s="46"/>
      <c r="J49" s="46"/>
      <c r="K49" s="46"/>
      <c r="L49" s="46"/>
      <c r="M49" s="46"/>
      <c r="N49" s="46"/>
      <c r="O49" s="69"/>
    </row>
    <row r="50" spans="1:15" s="18" customFormat="1">
      <c r="A50" s="4"/>
      <c r="B50" s="536" t="s">
        <v>514</v>
      </c>
      <c r="C50" s="868"/>
      <c r="D50" s="65">
        <f>SUM(D46:D49)</f>
        <v>6.4999999999999997E-3</v>
      </c>
      <c r="E50" s="65">
        <f t="shared" ref="E50:N50" si="10">SUM(E46:E49)</f>
        <v>6.4999999999999997E-3</v>
      </c>
      <c r="F50" s="65">
        <f t="shared" si="10"/>
        <v>6.6E-3</v>
      </c>
      <c r="G50" s="65">
        <f t="shared" si="10"/>
        <v>6.6E-3</v>
      </c>
      <c r="H50" s="65">
        <f t="shared" si="10"/>
        <v>8.6E-3</v>
      </c>
      <c r="I50" s="65">
        <f t="shared" si="10"/>
        <v>8.6999999999999994E-3</v>
      </c>
      <c r="J50" s="65">
        <f t="shared" si="10"/>
        <v>8.8999999999999999E-3</v>
      </c>
      <c r="K50" s="65">
        <f t="shared" si="10"/>
        <v>8.9999999999999993E-3</v>
      </c>
      <c r="L50" s="65">
        <f t="shared" si="10"/>
        <v>9.1000000000000004E-3</v>
      </c>
      <c r="M50" s="65">
        <f t="shared" si="10"/>
        <v>9.1999999999999998E-3</v>
      </c>
      <c r="N50" s="65">
        <f t="shared" si="10"/>
        <v>0</v>
      </c>
      <c r="O50" s="76"/>
    </row>
    <row r="51" spans="1:15" s="14" customFormat="1">
      <c r="A51" s="72"/>
      <c r="B51" s="492" t="s">
        <v>515</v>
      </c>
      <c r="C51" s="488"/>
      <c r="D51" s="71"/>
      <c r="E51" s="484">
        <f t="shared" ref="E51:N51" si="11">ROUND(SUM(D50*E16+E50*E17)/12,4)</f>
        <v>6.4999999999999997E-3</v>
      </c>
      <c r="F51" s="484">
        <f t="shared" si="11"/>
        <v>6.6E-3</v>
      </c>
      <c r="G51" s="484">
        <f t="shared" si="11"/>
        <v>6.6E-3</v>
      </c>
      <c r="H51" s="484">
        <f t="shared" si="11"/>
        <v>7.9000000000000008E-3</v>
      </c>
      <c r="I51" s="484">
        <f t="shared" si="11"/>
        <v>8.6999999999999994E-3</v>
      </c>
      <c r="J51" s="484">
        <f t="shared" si="11"/>
        <v>8.8000000000000005E-3</v>
      </c>
      <c r="K51" s="484">
        <f t="shared" si="11"/>
        <v>8.9999999999999993E-3</v>
      </c>
      <c r="L51" s="484">
        <f t="shared" si="11"/>
        <v>9.1000000000000004E-3</v>
      </c>
      <c r="M51" s="484">
        <f t="shared" si="11"/>
        <v>9.1999999999999998E-3</v>
      </c>
      <c r="N51" s="484">
        <f t="shared" si="11"/>
        <v>0</v>
      </c>
      <c r="O51" s="489"/>
    </row>
    <row r="52" spans="1:15" s="70" customFormat="1">
      <c r="A52" s="72"/>
      <c r="B52" s="492"/>
      <c r="C52" s="488"/>
      <c r="D52" s="71"/>
      <c r="E52" s="71"/>
      <c r="F52" s="71"/>
      <c r="G52" s="71"/>
      <c r="H52" s="71"/>
      <c r="I52" s="71"/>
      <c r="J52" s="71"/>
      <c r="K52" s="71"/>
      <c r="L52" s="494"/>
      <c r="M52" s="494"/>
      <c r="N52" s="494"/>
      <c r="O52" s="493"/>
    </row>
    <row r="53" spans="1:15" s="64" customFormat="1">
      <c r="A53" s="62"/>
      <c r="B53" s="603">
        <f>'1.  LRAMVA Summary'!B34</f>
        <v>0</v>
      </c>
      <c r="C53" s="866">
        <f>'2. LRAMVA Threshold'!I43</f>
        <v>0</v>
      </c>
      <c r="D53" s="46"/>
      <c r="E53" s="46"/>
      <c r="F53" s="46"/>
      <c r="G53" s="46"/>
      <c r="H53" s="46"/>
      <c r="I53" s="46"/>
      <c r="J53" s="46"/>
      <c r="K53" s="46"/>
      <c r="L53" s="46"/>
      <c r="M53" s="46"/>
      <c r="N53" s="46"/>
      <c r="O53" s="69"/>
    </row>
    <row r="54" spans="1:15" s="18" customFormat="1" outlineLevel="1">
      <c r="A54" s="4"/>
      <c r="B54" s="536" t="s">
        <v>512</v>
      </c>
      <c r="C54" s="867"/>
      <c r="D54" s="46"/>
      <c r="E54" s="46"/>
      <c r="F54" s="46"/>
      <c r="G54" s="46"/>
      <c r="H54" s="46"/>
      <c r="I54" s="46"/>
      <c r="J54" s="46"/>
      <c r="K54" s="46"/>
      <c r="L54" s="46"/>
      <c r="M54" s="46"/>
      <c r="N54" s="46"/>
      <c r="O54" s="69"/>
    </row>
    <row r="55" spans="1:15" s="18" customFormat="1" outlineLevel="1">
      <c r="A55" s="4"/>
      <c r="B55" s="536" t="s">
        <v>513</v>
      </c>
      <c r="C55" s="867"/>
      <c r="D55" s="46"/>
      <c r="E55" s="46"/>
      <c r="F55" s="46"/>
      <c r="G55" s="46"/>
      <c r="H55" s="46"/>
      <c r="I55" s="46"/>
      <c r="J55" s="46"/>
      <c r="K55" s="46"/>
      <c r="L55" s="46"/>
      <c r="M55" s="46"/>
      <c r="N55" s="46"/>
      <c r="O55" s="69"/>
    </row>
    <row r="56" spans="1:15" s="18" customFormat="1" outlineLevel="1">
      <c r="A56" s="4"/>
      <c r="B56" s="536" t="s">
        <v>490</v>
      </c>
      <c r="C56" s="867"/>
      <c r="D56" s="46"/>
      <c r="E56" s="46"/>
      <c r="F56" s="46"/>
      <c r="G56" s="46"/>
      <c r="H56" s="46"/>
      <c r="I56" s="46"/>
      <c r="J56" s="46"/>
      <c r="K56" s="46"/>
      <c r="L56" s="46"/>
      <c r="M56" s="46"/>
      <c r="N56" s="46"/>
      <c r="O56" s="69"/>
    </row>
    <row r="57" spans="1:15" s="18" customFormat="1">
      <c r="A57" s="4"/>
      <c r="B57" s="536" t="s">
        <v>514</v>
      </c>
      <c r="C57" s="868"/>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515</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c r="A59" s="72"/>
      <c r="B59" s="492"/>
      <c r="C59" s="488"/>
      <c r="D59" s="71"/>
      <c r="E59" s="71"/>
      <c r="F59" s="71"/>
      <c r="G59" s="71"/>
      <c r="H59" s="71"/>
      <c r="I59" s="71"/>
      <c r="J59" s="71"/>
      <c r="K59" s="71"/>
      <c r="L59" s="494"/>
      <c r="M59" s="494"/>
      <c r="N59" s="494"/>
      <c r="O59" s="493"/>
    </row>
    <row r="60" spans="1:15" s="64" customFormat="1">
      <c r="A60" s="62"/>
      <c r="B60" s="603">
        <f>'1.  LRAMVA Summary'!B35</f>
        <v>0</v>
      </c>
      <c r="C60" s="866">
        <f>'2. LRAMVA Threshold'!J43</f>
        <v>0</v>
      </c>
      <c r="D60" s="46"/>
      <c r="E60" s="46"/>
      <c r="F60" s="46"/>
      <c r="G60" s="46"/>
      <c r="H60" s="46"/>
      <c r="I60" s="46"/>
      <c r="J60" s="46"/>
      <c r="K60" s="46"/>
      <c r="L60" s="46"/>
      <c r="M60" s="46"/>
      <c r="N60" s="46"/>
      <c r="O60" s="69"/>
    </row>
    <row r="61" spans="1:15" s="18" customFormat="1" outlineLevel="1">
      <c r="A61" s="4"/>
      <c r="B61" s="536" t="s">
        <v>512</v>
      </c>
      <c r="C61" s="867"/>
      <c r="D61" s="46"/>
      <c r="E61" s="46"/>
      <c r="F61" s="46"/>
      <c r="G61" s="46"/>
      <c r="H61" s="46"/>
      <c r="I61" s="46"/>
      <c r="J61" s="46"/>
      <c r="K61" s="46"/>
      <c r="L61" s="46"/>
      <c r="M61" s="46"/>
      <c r="N61" s="46"/>
      <c r="O61" s="69"/>
    </row>
    <row r="62" spans="1:15" s="18" customFormat="1" outlineLevel="1">
      <c r="A62" s="4"/>
      <c r="B62" s="536" t="s">
        <v>513</v>
      </c>
      <c r="C62" s="867"/>
      <c r="D62" s="46"/>
      <c r="E62" s="46"/>
      <c r="F62" s="46"/>
      <c r="G62" s="46"/>
      <c r="H62" s="46"/>
      <c r="I62" s="46"/>
      <c r="J62" s="46"/>
      <c r="K62" s="46"/>
      <c r="L62" s="46"/>
      <c r="M62" s="46"/>
      <c r="N62" s="46"/>
      <c r="O62" s="69"/>
    </row>
    <row r="63" spans="1:15" s="18" customFormat="1" outlineLevel="1">
      <c r="A63" s="4"/>
      <c r="B63" s="536" t="s">
        <v>490</v>
      </c>
      <c r="C63" s="867"/>
      <c r="D63" s="46"/>
      <c r="E63" s="46"/>
      <c r="F63" s="46"/>
      <c r="G63" s="46"/>
      <c r="H63" s="46"/>
      <c r="I63" s="46"/>
      <c r="J63" s="46"/>
      <c r="K63" s="46"/>
      <c r="L63" s="46"/>
      <c r="M63" s="46"/>
      <c r="N63" s="46"/>
      <c r="O63" s="69"/>
    </row>
    <row r="64" spans="1:15" s="18" customFormat="1">
      <c r="A64" s="4"/>
      <c r="B64" s="536" t="s">
        <v>514</v>
      </c>
      <c r="C64" s="868"/>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515</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3">
        <f>'1.  LRAMVA Summary'!B36</f>
        <v>0</v>
      </c>
      <c r="C67" s="866">
        <f>'2. LRAMVA Threshold'!K43</f>
        <v>0</v>
      </c>
      <c r="D67" s="46"/>
      <c r="E67" s="46"/>
      <c r="F67" s="46"/>
      <c r="G67" s="46"/>
      <c r="H67" s="46"/>
      <c r="I67" s="46"/>
      <c r="J67" s="46"/>
      <c r="K67" s="46"/>
      <c r="L67" s="46"/>
      <c r="M67" s="46"/>
      <c r="N67" s="46"/>
      <c r="O67" s="69"/>
    </row>
    <row r="68" spans="1:15" s="18" customFormat="1" outlineLevel="1">
      <c r="A68" s="4"/>
      <c r="B68" s="536" t="s">
        <v>512</v>
      </c>
      <c r="C68" s="867"/>
      <c r="D68" s="46"/>
      <c r="E68" s="46"/>
      <c r="F68" s="46"/>
      <c r="G68" s="46"/>
      <c r="H68" s="46"/>
      <c r="I68" s="46"/>
      <c r="J68" s="46"/>
      <c r="K68" s="46"/>
      <c r="L68" s="46"/>
      <c r="M68" s="46"/>
      <c r="N68" s="46"/>
      <c r="O68" s="69"/>
    </row>
    <row r="69" spans="1:15" s="18" customFormat="1" outlineLevel="1">
      <c r="A69" s="4"/>
      <c r="B69" s="536" t="s">
        <v>513</v>
      </c>
      <c r="C69" s="867"/>
      <c r="D69" s="46"/>
      <c r="E69" s="46"/>
      <c r="F69" s="46"/>
      <c r="G69" s="46"/>
      <c r="H69" s="46"/>
      <c r="I69" s="46"/>
      <c r="J69" s="46"/>
      <c r="K69" s="46"/>
      <c r="L69" s="46"/>
      <c r="M69" s="46"/>
      <c r="N69" s="46"/>
      <c r="O69" s="69"/>
    </row>
    <row r="70" spans="1:15" s="18" customFormat="1" outlineLevel="1">
      <c r="A70" s="4"/>
      <c r="B70" s="536" t="s">
        <v>490</v>
      </c>
      <c r="C70" s="867"/>
      <c r="D70" s="46"/>
      <c r="E70" s="46"/>
      <c r="F70" s="46"/>
      <c r="G70" s="46"/>
      <c r="H70" s="46"/>
      <c r="I70" s="46"/>
      <c r="J70" s="46"/>
      <c r="K70" s="46"/>
      <c r="L70" s="46"/>
      <c r="M70" s="46"/>
      <c r="N70" s="46"/>
      <c r="O70" s="69"/>
    </row>
    <row r="71" spans="1:15" s="18" customFormat="1">
      <c r="A71" s="4"/>
      <c r="B71" s="536" t="s">
        <v>514</v>
      </c>
      <c r="C71" s="868"/>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515</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3">
        <f>'1.  LRAMVA Summary'!B37</f>
        <v>0</v>
      </c>
      <c r="C74" s="866">
        <f>'2. LRAMVA Threshold'!L43</f>
        <v>0</v>
      </c>
      <c r="D74" s="46"/>
      <c r="E74" s="46"/>
      <c r="F74" s="46"/>
      <c r="G74" s="46"/>
      <c r="H74" s="46"/>
      <c r="I74" s="46"/>
      <c r="J74" s="46"/>
      <c r="K74" s="46"/>
      <c r="L74" s="46"/>
      <c r="M74" s="46"/>
      <c r="N74" s="46"/>
      <c r="O74" s="69"/>
    </row>
    <row r="75" spans="1:15" s="18" customFormat="1" outlineLevel="1">
      <c r="A75" s="4"/>
      <c r="B75" s="536" t="s">
        <v>512</v>
      </c>
      <c r="C75" s="867"/>
      <c r="D75" s="46"/>
      <c r="E75" s="46"/>
      <c r="F75" s="46"/>
      <c r="G75" s="46"/>
      <c r="H75" s="46"/>
      <c r="I75" s="46"/>
      <c r="J75" s="46"/>
      <c r="K75" s="46"/>
      <c r="L75" s="46"/>
      <c r="M75" s="46"/>
      <c r="N75" s="46"/>
      <c r="O75" s="69"/>
    </row>
    <row r="76" spans="1:15" s="18" customFormat="1" outlineLevel="1">
      <c r="A76" s="4"/>
      <c r="B76" s="536" t="s">
        <v>513</v>
      </c>
      <c r="C76" s="867"/>
      <c r="D76" s="46"/>
      <c r="E76" s="46"/>
      <c r="F76" s="46"/>
      <c r="G76" s="46"/>
      <c r="H76" s="46"/>
      <c r="I76" s="46"/>
      <c r="J76" s="46"/>
      <c r="K76" s="46"/>
      <c r="L76" s="46"/>
      <c r="M76" s="46"/>
      <c r="N76" s="46"/>
      <c r="O76" s="69"/>
    </row>
    <row r="77" spans="1:15" s="18" customFormat="1" outlineLevel="1">
      <c r="A77" s="4"/>
      <c r="B77" s="536" t="s">
        <v>490</v>
      </c>
      <c r="C77" s="867"/>
      <c r="D77" s="46"/>
      <c r="E77" s="46"/>
      <c r="F77" s="46"/>
      <c r="G77" s="46"/>
      <c r="H77" s="46"/>
      <c r="I77" s="46"/>
      <c r="J77" s="46"/>
      <c r="K77" s="46"/>
      <c r="L77" s="46"/>
      <c r="M77" s="46"/>
      <c r="N77" s="46"/>
      <c r="O77" s="69"/>
    </row>
    <row r="78" spans="1:15" s="18" customFormat="1">
      <c r="A78" s="4"/>
      <c r="B78" s="536" t="s">
        <v>514</v>
      </c>
      <c r="C78" s="868"/>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515</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3">
        <f>'1.  LRAMVA Summary'!B38</f>
        <v>0</v>
      </c>
      <c r="C81" s="866">
        <f>'2. LRAMVA Threshold'!M43</f>
        <v>0</v>
      </c>
      <c r="D81" s="46"/>
      <c r="E81" s="46"/>
      <c r="F81" s="46"/>
      <c r="G81" s="46"/>
      <c r="H81" s="46"/>
      <c r="I81" s="46"/>
      <c r="J81" s="46"/>
      <c r="K81" s="46"/>
      <c r="L81" s="46"/>
      <c r="M81" s="46"/>
      <c r="N81" s="46"/>
      <c r="O81" s="69"/>
    </row>
    <row r="82" spans="1:15" s="18" customFormat="1" outlineLevel="1">
      <c r="A82" s="4"/>
      <c r="B82" s="536" t="s">
        <v>512</v>
      </c>
      <c r="C82" s="867"/>
      <c r="D82" s="46"/>
      <c r="E82" s="46"/>
      <c r="F82" s="46"/>
      <c r="G82" s="46"/>
      <c r="H82" s="46"/>
      <c r="I82" s="46"/>
      <c r="J82" s="46"/>
      <c r="K82" s="46"/>
      <c r="L82" s="46"/>
      <c r="M82" s="46"/>
      <c r="N82" s="46"/>
      <c r="O82" s="69"/>
    </row>
    <row r="83" spans="1:15" s="18" customFormat="1" outlineLevel="1">
      <c r="A83" s="4"/>
      <c r="B83" s="536" t="s">
        <v>513</v>
      </c>
      <c r="C83" s="867"/>
      <c r="D83" s="46"/>
      <c r="E83" s="46"/>
      <c r="F83" s="46"/>
      <c r="G83" s="46"/>
      <c r="H83" s="46"/>
      <c r="I83" s="46"/>
      <c r="J83" s="46"/>
      <c r="K83" s="46"/>
      <c r="L83" s="46"/>
      <c r="M83" s="46"/>
      <c r="N83" s="46"/>
      <c r="O83" s="69"/>
    </row>
    <row r="84" spans="1:15" s="18" customFormat="1" outlineLevel="1">
      <c r="A84" s="4"/>
      <c r="B84" s="536" t="s">
        <v>490</v>
      </c>
      <c r="C84" s="867"/>
      <c r="D84" s="46"/>
      <c r="E84" s="46"/>
      <c r="F84" s="46"/>
      <c r="G84" s="46"/>
      <c r="H84" s="46"/>
      <c r="I84" s="46"/>
      <c r="J84" s="46"/>
      <c r="K84" s="46"/>
      <c r="L84" s="46"/>
      <c r="M84" s="46"/>
      <c r="N84" s="46"/>
      <c r="O84" s="69"/>
    </row>
    <row r="85" spans="1:15" s="18" customFormat="1">
      <c r="A85" s="4"/>
      <c r="B85" s="536" t="s">
        <v>514</v>
      </c>
      <c r="C85" s="868"/>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515</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3">
        <f>'1.  LRAMVA Summary'!B39</f>
        <v>0</v>
      </c>
      <c r="C88" s="866">
        <f>'2. LRAMVA Threshold'!N43</f>
        <v>0</v>
      </c>
      <c r="D88" s="46"/>
      <c r="E88" s="46"/>
      <c r="F88" s="46"/>
      <c r="G88" s="46"/>
      <c r="H88" s="46"/>
      <c r="I88" s="46"/>
      <c r="J88" s="46"/>
      <c r="K88" s="46"/>
      <c r="L88" s="46"/>
      <c r="M88" s="46"/>
      <c r="N88" s="46"/>
      <c r="O88" s="69"/>
    </row>
    <row r="89" spans="1:15" s="18" customFormat="1" outlineLevel="1">
      <c r="A89" s="4"/>
      <c r="B89" s="536" t="s">
        <v>512</v>
      </c>
      <c r="C89" s="867"/>
      <c r="D89" s="46"/>
      <c r="E89" s="46"/>
      <c r="F89" s="46"/>
      <c r="G89" s="46"/>
      <c r="H89" s="46"/>
      <c r="I89" s="46"/>
      <c r="J89" s="46"/>
      <c r="K89" s="46"/>
      <c r="L89" s="46"/>
      <c r="M89" s="46"/>
      <c r="N89" s="46"/>
      <c r="O89" s="69"/>
    </row>
    <row r="90" spans="1:15" s="18" customFormat="1" outlineLevel="1">
      <c r="A90" s="4"/>
      <c r="B90" s="536" t="s">
        <v>513</v>
      </c>
      <c r="C90" s="867"/>
      <c r="D90" s="46"/>
      <c r="E90" s="46"/>
      <c r="F90" s="46"/>
      <c r="G90" s="46"/>
      <c r="H90" s="46"/>
      <c r="I90" s="46"/>
      <c r="J90" s="46"/>
      <c r="K90" s="46"/>
      <c r="L90" s="46"/>
      <c r="M90" s="46"/>
      <c r="N90" s="46"/>
      <c r="O90" s="69"/>
    </row>
    <row r="91" spans="1:15" s="18" customFormat="1" outlineLevel="1">
      <c r="A91" s="4"/>
      <c r="B91" s="536" t="s">
        <v>490</v>
      </c>
      <c r="C91" s="867"/>
      <c r="D91" s="46"/>
      <c r="E91" s="46"/>
      <c r="F91" s="46"/>
      <c r="G91" s="46"/>
      <c r="H91" s="46"/>
      <c r="I91" s="46"/>
      <c r="J91" s="46"/>
      <c r="K91" s="46"/>
      <c r="L91" s="46"/>
      <c r="M91" s="46"/>
      <c r="N91" s="46"/>
      <c r="O91" s="69"/>
    </row>
    <row r="92" spans="1:15" s="18" customFormat="1">
      <c r="A92" s="4"/>
      <c r="B92" s="536" t="s">
        <v>514</v>
      </c>
      <c r="C92" s="868"/>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515</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3">
        <f>'1.  LRAMVA Summary'!B40</f>
        <v>0</v>
      </c>
      <c r="C95" s="866">
        <f>'2. LRAMVA Threshold'!O43</f>
        <v>0</v>
      </c>
      <c r="D95" s="46"/>
      <c r="E95" s="46"/>
      <c r="F95" s="46"/>
      <c r="G95" s="46"/>
      <c r="H95" s="46"/>
      <c r="I95" s="46"/>
      <c r="J95" s="46"/>
      <c r="K95" s="46"/>
      <c r="L95" s="46"/>
      <c r="M95" s="46"/>
      <c r="N95" s="46"/>
      <c r="O95" s="69"/>
    </row>
    <row r="96" spans="1:15" s="18" customFormat="1" outlineLevel="1">
      <c r="A96" s="4"/>
      <c r="B96" s="536" t="s">
        <v>512</v>
      </c>
      <c r="C96" s="867"/>
      <c r="D96" s="46"/>
      <c r="E96" s="46"/>
      <c r="F96" s="46"/>
      <c r="G96" s="46"/>
      <c r="H96" s="46"/>
      <c r="I96" s="46"/>
      <c r="J96" s="46"/>
      <c r="K96" s="46"/>
      <c r="L96" s="46"/>
      <c r="M96" s="46"/>
      <c r="N96" s="46"/>
      <c r="O96" s="69"/>
    </row>
    <row r="97" spans="1:15" s="18" customFormat="1" outlineLevel="1">
      <c r="A97" s="4"/>
      <c r="B97" s="536" t="s">
        <v>513</v>
      </c>
      <c r="C97" s="867"/>
      <c r="D97" s="46"/>
      <c r="E97" s="46"/>
      <c r="F97" s="46"/>
      <c r="G97" s="46"/>
      <c r="H97" s="46"/>
      <c r="I97" s="46"/>
      <c r="J97" s="46"/>
      <c r="K97" s="46"/>
      <c r="L97" s="46"/>
      <c r="M97" s="46"/>
      <c r="N97" s="46"/>
      <c r="O97" s="69"/>
    </row>
    <row r="98" spans="1:15" s="18" customFormat="1" outlineLevel="1">
      <c r="A98" s="4"/>
      <c r="B98" s="536" t="s">
        <v>490</v>
      </c>
      <c r="C98" s="867"/>
      <c r="D98" s="46"/>
      <c r="E98" s="46"/>
      <c r="F98" s="46"/>
      <c r="G98" s="46"/>
      <c r="H98" s="46"/>
      <c r="I98" s="46"/>
      <c r="J98" s="46"/>
      <c r="K98" s="46"/>
      <c r="L98" s="46"/>
      <c r="M98" s="46"/>
      <c r="N98" s="46"/>
      <c r="O98" s="69"/>
    </row>
    <row r="99" spans="1:15" s="18" customFormat="1">
      <c r="A99" s="4"/>
      <c r="B99" s="536" t="s">
        <v>514</v>
      </c>
      <c r="C99" s="868"/>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515</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3">
        <f>'1.  LRAMVA Summary'!B41</f>
        <v>0</v>
      </c>
      <c r="C102" s="866">
        <f>'2. LRAMVA Threshold'!P43</f>
        <v>0</v>
      </c>
      <c r="D102" s="46"/>
      <c r="E102" s="46"/>
      <c r="F102" s="46"/>
      <c r="G102" s="46"/>
      <c r="H102" s="46"/>
      <c r="I102" s="46"/>
      <c r="J102" s="46"/>
      <c r="K102" s="46"/>
      <c r="L102" s="46"/>
      <c r="M102" s="46"/>
      <c r="N102" s="46"/>
      <c r="O102" s="69"/>
    </row>
    <row r="103" spans="1:15" s="18" customFormat="1" outlineLevel="1">
      <c r="A103" s="4"/>
      <c r="B103" s="536" t="s">
        <v>512</v>
      </c>
      <c r="C103" s="867"/>
      <c r="D103" s="46"/>
      <c r="E103" s="46"/>
      <c r="F103" s="46"/>
      <c r="G103" s="46"/>
      <c r="H103" s="46"/>
      <c r="I103" s="46"/>
      <c r="J103" s="46"/>
      <c r="K103" s="46"/>
      <c r="L103" s="46"/>
      <c r="M103" s="46"/>
      <c r="N103" s="46"/>
      <c r="O103" s="69"/>
    </row>
    <row r="104" spans="1:15" s="18" customFormat="1" outlineLevel="1">
      <c r="A104" s="4"/>
      <c r="B104" s="536" t="s">
        <v>513</v>
      </c>
      <c r="C104" s="867"/>
      <c r="D104" s="46"/>
      <c r="E104" s="46"/>
      <c r="F104" s="46"/>
      <c r="G104" s="46"/>
      <c r="H104" s="46"/>
      <c r="I104" s="46"/>
      <c r="J104" s="46"/>
      <c r="K104" s="46"/>
      <c r="L104" s="46"/>
      <c r="M104" s="46"/>
      <c r="N104" s="46"/>
      <c r="O104" s="69"/>
    </row>
    <row r="105" spans="1:15" s="18" customFormat="1" outlineLevel="1">
      <c r="A105" s="4"/>
      <c r="B105" s="536" t="s">
        <v>490</v>
      </c>
      <c r="C105" s="867"/>
      <c r="D105" s="46"/>
      <c r="E105" s="46"/>
      <c r="F105" s="46"/>
      <c r="G105" s="46"/>
      <c r="H105" s="46"/>
      <c r="I105" s="46"/>
      <c r="J105" s="46"/>
      <c r="K105" s="46"/>
      <c r="L105" s="46"/>
      <c r="M105" s="46"/>
      <c r="N105" s="46"/>
      <c r="O105" s="69"/>
    </row>
    <row r="106" spans="1:15" s="18" customFormat="1">
      <c r="A106" s="4"/>
      <c r="B106" s="536" t="s">
        <v>514</v>
      </c>
      <c r="C106" s="868"/>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515</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3">
        <f>'1.  LRAMVA Summary'!B42</f>
        <v>0</v>
      </c>
      <c r="C109" s="866">
        <f>'2. LRAMVA Threshold'!Q43</f>
        <v>0</v>
      </c>
      <c r="D109" s="46"/>
      <c r="E109" s="46"/>
      <c r="F109" s="46"/>
      <c r="G109" s="46"/>
      <c r="H109" s="46"/>
      <c r="I109" s="46"/>
      <c r="J109" s="46"/>
      <c r="K109" s="46"/>
      <c r="L109" s="46"/>
      <c r="M109" s="46"/>
      <c r="N109" s="46"/>
      <c r="O109" s="69"/>
    </row>
    <row r="110" spans="1:15" s="18" customFormat="1" outlineLevel="1">
      <c r="A110" s="4"/>
      <c r="B110" s="536" t="s">
        <v>512</v>
      </c>
      <c r="C110" s="867"/>
      <c r="D110" s="46"/>
      <c r="E110" s="46"/>
      <c r="F110" s="46"/>
      <c r="G110" s="46"/>
      <c r="H110" s="46"/>
      <c r="I110" s="46"/>
      <c r="J110" s="46"/>
      <c r="K110" s="46"/>
      <c r="L110" s="46"/>
      <c r="M110" s="46"/>
      <c r="N110" s="46"/>
      <c r="O110" s="69"/>
    </row>
    <row r="111" spans="1:15" s="18" customFormat="1" outlineLevel="1">
      <c r="A111" s="4"/>
      <c r="B111" s="536" t="s">
        <v>513</v>
      </c>
      <c r="C111" s="867"/>
      <c r="D111" s="46"/>
      <c r="E111" s="46"/>
      <c r="F111" s="46"/>
      <c r="G111" s="46"/>
      <c r="H111" s="46"/>
      <c r="I111" s="46"/>
      <c r="J111" s="46"/>
      <c r="K111" s="46"/>
      <c r="L111" s="46"/>
      <c r="M111" s="46"/>
      <c r="N111" s="46"/>
      <c r="O111" s="69"/>
    </row>
    <row r="112" spans="1:15" s="18" customFormat="1" outlineLevel="1">
      <c r="A112" s="4"/>
      <c r="B112" s="536" t="s">
        <v>490</v>
      </c>
      <c r="C112" s="867"/>
      <c r="D112" s="46"/>
      <c r="E112" s="46"/>
      <c r="F112" s="46"/>
      <c r="G112" s="46"/>
      <c r="H112" s="46"/>
      <c r="I112" s="46"/>
      <c r="J112" s="46"/>
      <c r="K112" s="46"/>
      <c r="L112" s="46"/>
      <c r="M112" s="46"/>
      <c r="N112" s="46"/>
      <c r="O112" s="69"/>
    </row>
    <row r="113" spans="1:17" s="18" customFormat="1">
      <c r="A113" s="4"/>
      <c r="B113" s="536" t="s">
        <v>514</v>
      </c>
      <c r="C113" s="868"/>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515</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c r="A115" s="72"/>
      <c r="B115" s="74"/>
      <c r="C115" s="81"/>
      <c r="D115" s="75"/>
      <c r="E115" s="75"/>
      <c r="F115" s="75"/>
      <c r="G115" s="75"/>
      <c r="H115" s="75"/>
      <c r="I115" s="75"/>
      <c r="J115" s="75"/>
      <c r="K115" s="495"/>
      <c r="L115" s="496"/>
      <c r="M115" s="496"/>
      <c r="N115" s="496"/>
      <c r="O115" s="497"/>
    </row>
    <row r="116" spans="1:17" s="3" customFormat="1" ht="21" customHeight="1">
      <c r="A116" s="4"/>
      <c r="B116" s="498" t="s">
        <v>611</v>
      </c>
      <c r="C116" s="98"/>
      <c r="D116" s="499"/>
      <c r="E116" s="499"/>
      <c r="F116" s="499"/>
      <c r="G116" s="499"/>
      <c r="H116" s="499"/>
      <c r="I116" s="499"/>
      <c r="J116" s="499"/>
      <c r="K116" s="499"/>
      <c r="L116" s="499"/>
      <c r="M116" s="499"/>
      <c r="N116" s="499"/>
      <c r="O116" s="499"/>
    </row>
    <row r="119" spans="1:17" ht="15.6">
      <c r="B119" s="118" t="s">
        <v>484</v>
      </c>
      <c r="J119" s="18"/>
    </row>
    <row r="120" spans="1:17" s="14" customFormat="1" ht="75.75" customHeight="1">
      <c r="A120" s="72"/>
      <c r="B120" s="870" t="s">
        <v>672</v>
      </c>
      <c r="C120" s="870"/>
      <c r="D120" s="870"/>
      <c r="E120" s="870"/>
      <c r="F120" s="870"/>
      <c r="G120" s="870"/>
      <c r="H120" s="870"/>
      <c r="I120" s="870"/>
      <c r="J120" s="870"/>
      <c r="K120" s="870"/>
      <c r="L120" s="870"/>
      <c r="M120" s="870"/>
      <c r="N120" s="870"/>
      <c r="O120" s="870"/>
      <c r="P120" s="870"/>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GS&gt;50kW</v>
      </c>
      <c r="F122" s="244" t="str">
        <f>'1.  LRAMVA Summary'!G52</f>
        <v>Street Lighting</v>
      </c>
      <c r="G122" s="244" t="str">
        <f>'1.  LRAMVA Summary'!H52</f>
        <v>Unmetered Scattered Load</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v>
      </c>
      <c r="G123" s="585" t="str">
        <f>'1.  LRAMVA Summary'!H53</f>
        <v>kWh</v>
      </c>
      <c r="H123" s="585">
        <f>'1.  LRAMVA Summary'!I53</f>
        <v>0</v>
      </c>
      <c r="I123" s="585">
        <f>'1.  LRAMVA Summary'!J53</f>
        <v>0</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500">
        <v>2011</v>
      </c>
      <c r="C124" s="680">
        <f t="shared" ref="C124:C129" si="30">HLOOKUP(B124,$E$15:$O$114,9,FALSE)</f>
        <v>8.6999999999999994E-3</v>
      </c>
      <c r="D124" s="681">
        <f>HLOOKUP(B124,$E$15:$O$114,16,FALSE)</f>
        <v>6.4999999999999997E-3</v>
      </c>
      <c r="E124" s="682">
        <f>HLOOKUP(B124,$E$15:$O$114,23,FALSE)</f>
        <v>3.4148000000000001</v>
      </c>
      <c r="F124" s="681">
        <f>HLOOKUP(B124,$E$15:$O$114,30,FALSE)</f>
        <v>3.0068000000000001</v>
      </c>
      <c r="G124" s="682">
        <f>HLOOKUP(B124,$E$15:$O$114,37,FALSE)</f>
        <v>6.4999999999999997E-3</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1">
        <v>2012</v>
      </c>
      <c r="C125" s="683">
        <f t="shared" si="30"/>
        <v>8.8000000000000005E-3</v>
      </c>
      <c r="D125" s="684">
        <f>HLOOKUP(B125,$E$15:$O$114,16,FALSE)</f>
        <v>6.6E-3</v>
      </c>
      <c r="E125" s="685">
        <f>HLOOKUP(B125,$E$15:$O$114,23,FALSE)</f>
        <v>3.5028999999999999</v>
      </c>
      <c r="F125" s="684">
        <f>HLOOKUP(B125,$E$15:$O$114,30,FALSE)</f>
        <v>3.0274999999999999</v>
      </c>
      <c r="G125" s="685">
        <f>HLOOKUP(B125,$E$15:$O$114,37,FALSE)</f>
        <v>6.6E-3</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1">
        <v>2013</v>
      </c>
      <c r="C126" s="683">
        <f t="shared" si="30"/>
        <v>8.8000000000000005E-3</v>
      </c>
      <c r="D126" s="684">
        <f t="shared" ref="D126:D133" si="32">HLOOKUP(B126,$E$15:$O$114,16,FALSE)</f>
        <v>6.6E-3</v>
      </c>
      <c r="E126" s="685">
        <f t="shared" ref="E126:E133" si="33">HLOOKUP(B126,$E$15:$O$114,23,FALSE)</f>
        <v>3.5886</v>
      </c>
      <c r="F126" s="684">
        <f t="shared" ref="F126:F133" si="34">HLOOKUP(B126,$E$15:$O$114,30,FALSE)</f>
        <v>3.0459999999999998</v>
      </c>
      <c r="G126" s="685">
        <f t="shared" ref="G126:G132" si="35">HLOOKUP(B126,$E$15:$O$114,37,FALSE)</f>
        <v>6.6E-3</v>
      </c>
      <c r="H126" s="684">
        <f t="shared" ref="H126:H133" si="36">HLOOKUP(B126,$E$15:$O$114,44,FALSE)</f>
        <v>0</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1">
        <v>2014</v>
      </c>
      <c r="C127" s="683">
        <f t="shared" si="30"/>
        <v>1.2E-2</v>
      </c>
      <c r="D127" s="684">
        <f>HLOOKUP(B127,$E$15:$O$114,16,FALSE)</f>
        <v>8.6999999999999994E-3</v>
      </c>
      <c r="E127" s="685">
        <f>HLOOKUP(B127,$E$15:$O$114,23,FALSE)</f>
        <v>2.9182999999999999</v>
      </c>
      <c r="F127" s="684">
        <f>HLOOKUP(B127,$E$15:$O$114,30,FALSE)</f>
        <v>3.7757000000000001</v>
      </c>
      <c r="G127" s="685">
        <f>HLOOKUP(B127,$E$15:$O$114,37,FALSE)</f>
        <v>7.9000000000000008E-3</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1">
        <v>2015</v>
      </c>
      <c r="C128" s="683">
        <f t="shared" si="30"/>
        <v>1.37E-2</v>
      </c>
      <c r="D128" s="684">
        <f t="shared" si="32"/>
        <v>9.9000000000000008E-3</v>
      </c>
      <c r="E128" s="685">
        <f t="shared" si="33"/>
        <v>2.6025999999999998</v>
      </c>
      <c r="F128" s="684">
        <f t="shared" si="34"/>
        <v>4.1740000000000004</v>
      </c>
      <c r="G128" s="685">
        <f t="shared" si="35"/>
        <v>8.6999999999999994E-3</v>
      </c>
      <c r="H128" s="684">
        <f t="shared" si="36"/>
        <v>0</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1">
        <v>2016</v>
      </c>
      <c r="C129" s="683">
        <f t="shared" si="30"/>
        <v>1.17E-2</v>
      </c>
      <c r="D129" s="684">
        <f t="shared" si="32"/>
        <v>1.04E-2</v>
      </c>
      <c r="E129" s="685">
        <f t="shared" si="33"/>
        <v>2.6450999999999998</v>
      </c>
      <c r="F129" s="684">
        <f t="shared" si="34"/>
        <v>4.2422000000000004</v>
      </c>
      <c r="G129" s="685">
        <f t="shared" si="35"/>
        <v>8.8000000000000005E-3</v>
      </c>
      <c r="H129" s="684">
        <f t="shared" si="36"/>
        <v>0</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1">
        <v>2017</v>
      </c>
      <c r="C130" s="683">
        <f>HLOOKUP(B130,$E$15:$O$114,9,FALSE)</f>
        <v>8.3000000000000001E-3</v>
      </c>
      <c r="D130" s="684">
        <f t="shared" si="32"/>
        <v>1.04E-2</v>
      </c>
      <c r="E130" s="685">
        <f t="shared" si="33"/>
        <v>2.6892</v>
      </c>
      <c r="F130" s="684">
        <f t="shared" si="34"/>
        <v>4.3129</v>
      </c>
      <c r="G130" s="685">
        <f t="shared" si="35"/>
        <v>8.9999999999999993E-3</v>
      </c>
      <c r="H130" s="684">
        <f t="shared" si="36"/>
        <v>0</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c r="B131" s="501">
        <v>2018</v>
      </c>
      <c r="C131" s="683">
        <f t="shared" ref="C131:C133" si="44">HLOOKUP(B131,$E$15:$O$114,9,FALSE)</f>
        <v>4.7999999999999996E-3</v>
      </c>
      <c r="D131" s="684">
        <f t="shared" si="32"/>
        <v>1.04E-2</v>
      </c>
      <c r="E131" s="685">
        <f t="shared" si="33"/>
        <v>2.7195999999999998</v>
      </c>
      <c r="F131" s="684">
        <f t="shared" si="34"/>
        <v>4.3616999999999999</v>
      </c>
      <c r="G131" s="685">
        <f t="shared" si="35"/>
        <v>9.1000000000000004E-3</v>
      </c>
      <c r="H131" s="684">
        <f t="shared" si="36"/>
        <v>0</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c r="B132" s="501">
        <v>2019</v>
      </c>
      <c r="C132" s="683">
        <f t="shared" si="44"/>
        <v>1.1999999999999999E-3</v>
      </c>
      <c r="D132" s="684">
        <f t="shared" si="32"/>
        <v>1.0500000000000001E-2</v>
      </c>
      <c r="E132" s="685">
        <f t="shared" si="33"/>
        <v>2.7494999999999998</v>
      </c>
      <c r="F132" s="684">
        <f t="shared" si="34"/>
        <v>4.4097</v>
      </c>
      <c r="G132" s="685">
        <f t="shared" si="35"/>
        <v>9.1999999999999998E-3</v>
      </c>
      <c r="H132" s="684">
        <f t="shared" si="36"/>
        <v>0</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hidden="1">
      <c r="B133" s="502">
        <v>2020</v>
      </c>
      <c r="C133" s="686">
        <f t="shared" si="44"/>
        <v>0</v>
      </c>
      <c r="D133" s="687">
        <f t="shared" si="32"/>
        <v>0</v>
      </c>
      <c r="E133" s="688">
        <f t="shared" si="33"/>
        <v>0</v>
      </c>
      <c r="F133" s="687">
        <f t="shared" si="34"/>
        <v>0</v>
      </c>
      <c r="G133" s="688">
        <f>HLOOKUP(B133,$E$15:$O$114,37,FALSE)</f>
        <v>0</v>
      </c>
      <c r="H133" s="687">
        <f t="shared" si="36"/>
        <v>0</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8" t="s">
        <v>628</v>
      </c>
      <c r="C134" s="597"/>
      <c r="D134" s="598"/>
      <c r="E134" s="599"/>
      <c r="F134" s="598"/>
      <c r="G134" s="598"/>
      <c r="H134" s="598"/>
      <c r="I134" s="598"/>
      <c r="J134" s="598"/>
      <c r="K134" s="598"/>
      <c r="L134" s="598"/>
      <c r="M134" s="598"/>
      <c r="N134" s="598"/>
      <c r="O134" s="598"/>
      <c r="P134" s="598"/>
    </row>
    <row r="136" spans="2:16">
      <c r="B136" s="591" t="s">
        <v>527</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4:X42"/>
  <sheetViews>
    <sheetView topLeftCell="A6" zoomScale="90" zoomScaleNormal="90" workbookViewId="0">
      <selection activeCell="M36" sqref="M36"/>
    </sheetView>
  </sheetViews>
  <sheetFormatPr defaultColWidth="9.109375" defaultRowHeight="14.4"/>
  <cols>
    <col min="1" max="1" width="9.109375" style="12"/>
    <col min="2" max="2" width="20" style="12" customWidth="1"/>
    <col min="3" max="3" width="13" style="12" customWidth="1"/>
    <col min="4" max="4" width="11.5546875" style="12" bestFit="1" customWidth="1"/>
    <col min="5" max="6" width="11.109375" style="12" bestFit="1" customWidth="1"/>
    <col min="7" max="7" width="13.5546875" style="12" bestFit="1" customWidth="1"/>
    <col min="8" max="8" width="24.44140625" style="12" bestFit="1" customWidth="1"/>
    <col min="9" max="9" width="12.33203125" style="12" bestFit="1" customWidth="1"/>
    <col min="10" max="17" width="6.6640625" style="12" bestFit="1" customWidth="1"/>
    <col min="18" max="18" width="12.33203125" style="12" bestFit="1" customWidth="1"/>
    <col min="19" max="16384" width="9.109375" style="12"/>
  </cols>
  <sheetData>
    <row r="14" spans="2:24" ht="15.6">
      <c r="B14" s="587" t="s">
        <v>505</v>
      </c>
    </row>
    <row r="15" spans="2:24" ht="15.6">
      <c r="B15" s="587"/>
    </row>
    <row r="16" spans="2:24" s="667" customFormat="1" ht="28.5" customHeight="1">
      <c r="B16" s="876" t="s">
        <v>631</v>
      </c>
      <c r="C16" s="876"/>
      <c r="D16" s="876"/>
      <c r="E16" s="876"/>
      <c r="F16" s="876"/>
      <c r="G16" s="876"/>
      <c r="H16" s="876"/>
      <c r="I16" s="876"/>
      <c r="J16" s="876"/>
      <c r="K16" s="876"/>
      <c r="L16" s="876"/>
      <c r="M16" s="876"/>
      <c r="N16" s="876"/>
      <c r="O16" s="876"/>
      <c r="P16" s="876"/>
      <c r="Q16" s="876"/>
      <c r="R16" s="876"/>
      <c r="S16" s="876"/>
      <c r="T16" s="876"/>
      <c r="U16" s="876"/>
      <c r="V16" s="876"/>
      <c r="W16" s="876"/>
      <c r="X16" s="876"/>
    </row>
    <row r="19" spans="2:9">
      <c r="B19" s="12" t="s">
        <v>786</v>
      </c>
    </row>
    <row r="21" spans="2:9">
      <c r="B21" s="819" t="s">
        <v>34</v>
      </c>
      <c r="C21" s="819"/>
      <c r="D21" s="819" t="s">
        <v>29</v>
      </c>
      <c r="E21" s="819" t="s">
        <v>371</v>
      </c>
      <c r="F21" s="819" t="s">
        <v>787</v>
      </c>
      <c r="G21" s="819" t="s">
        <v>31</v>
      </c>
      <c r="H21" s="819" t="s">
        <v>32</v>
      </c>
      <c r="I21" s="819" t="s">
        <v>26</v>
      </c>
    </row>
    <row r="22" spans="2:9">
      <c r="B22" s="819"/>
      <c r="C22" s="819"/>
      <c r="D22" s="819" t="s">
        <v>27</v>
      </c>
      <c r="E22" s="819" t="s">
        <v>27</v>
      </c>
      <c r="F22" s="819" t="s">
        <v>28</v>
      </c>
      <c r="G22" s="819" t="s">
        <v>28</v>
      </c>
      <c r="H22" s="819" t="s">
        <v>28</v>
      </c>
      <c r="I22" s="819"/>
    </row>
    <row r="23" spans="2:9">
      <c r="B23" s="819" t="s">
        <v>38</v>
      </c>
      <c r="C23" s="819"/>
      <c r="D23" s="820">
        <v>915.78</v>
      </c>
      <c r="E23" s="820">
        <v>1024.56</v>
      </c>
      <c r="F23" s="820">
        <v>0</v>
      </c>
      <c r="G23" s="820">
        <v>8330.2000000000007</v>
      </c>
      <c r="H23" s="820">
        <v>0</v>
      </c>
      <c r="I23" s="820">
        <v>10270.540000000001</v>
      </c>
    </row>
    <row r="24" spans="2:9">
      <c r="B24" s="819" t="s">
        <v>37</v>
      </c>
      <c r="C24" s="819"/>
      <c r="D24" s="820">
        <v>0</v>
      </c>
      <c r="E24" s="820">
        <v>0</v>
      </c>
      <c r="F24" s="820">
        <v>0</v>
      </c>
      <c r="G24" s="820">
        <v>0</v>
      </c>
      <c r="H24" s="820">
        <v>0</v>
      </c>
      <c r="I24" s="820">
        <v>0</v>
      </c>
    </row>
    <row r="25" spans="2:9">
      <c r="B25" s="819" t="s">
        <v>67</v>
      </c>
      <c r="C25" s="819"/>
      <c r="D25" s="819"/>
      <c r="E25" s="819"/>
      <c r="F25" s="819"/>
      <c r="G25" s="819"/>
      <c r="H25" s="819"/>
      <c r="I25" s="819"/>
    </row>
    <row r="26" spans="2:9">
      <c r="B26" s="819" t="s">
        <v>40</v>
      </c>
      <c r="C26" s="819"/>
      <c r="D26" s="820">
        <v>3580.69</v>
      </c>
      <c r="E26" s="820">
        <v>1754.94</v>
      </c>
      <c r="F26" s="820">
        <v>0</v>
      </c>
      <c r="G26" s="820">
        <v>10325.780000000001</v>
      </c>
      <c r="H26" s="820">
        <v>0</v>
      </c>
      <c r="I26" s="820">
        <v>15661.41</v>
      </c>
    </row>
    <row r="27" spans="2:9">
      <c r="B27" s="819" t="s">
        <v>39</v>
      </c>
      <c r="C27" s="819"/>
      <c r="D27" s="820">
        <v>-6095.58</v>
      </c>
      <c r="E27" s="820">
        <v>-1594.12</v>
      </c>
      <c r="F27" s="820">
        <v>-2652.73</v>
      </c>
      <c r="G27" s="820">
        <v>-8046.02</v>
      </c>
      <c r="H27" s="820">
        <v>0</v>
      </c>
      <c r="I27" s="820">
        <v>-18388.45</v>
      </c>
    </row>
    <row r="28" spans="2:9">
      <c r="B28" s="819" t="s">
        <v>67</v>
      </c>
      <c r="C28" s="819"/>
      <c r="D28" s="819"/>
      <c r="E28" s="819"/>
      <c r="F28" s="819"/>
      <c r="G28" s="819"/>
      <c r="H28" s="819"/>
      <c r="I28" s="819"/>
    </row>
    <row r="29" spans="2:9">
      <c r="B29" s="819" t="s">
        <v>94</v>
      </c>
      <c r="C29" s="819"/>
      <c r="D29" s="820">
        <v>6554.37</v>
      </c>
      <c r="E29" s="820">
        <v>2736.5</v>
      </c>
      <c r="F29" s="820">
        <v>0</v>
      </c>
      <c r="G29" s="820">
        <v>11415.06</v>
      </c>
      <c r="H29" s="820">
        <v>0</v>
      </c>
      <c r="I29" s="820">
        <v>20705.919999999998</v>
      </c>
    </row>
    <row r="30" spans="2:9">
      <c r="B30" s="819" t="s">
        <v>93</v>
      </c>
      <c r="C30" s="819"/>
      <c r="D30" s="820">
        <v>-6959.12</v>
      </c>
      <c r="E30" s="820">
        <v>-1814</v>
      </c>
      <c r="F30" s="820">
        <v>-2365.7600000000002</v>
      </c>
      <c r="G30" s="820">
        <v>-8894.7900000000009</v>
      </c>
      <c r="H30" s="820">
        <v>0</v>
      </c>
      <c r="I30" s="820">
        <v>-20033.669999999998</v>
      </c>
    </row>
    <row r="31" spans="2:9">
      <c r="B31" s="819" t="s">
        <v>67</v>
      </c>
      <c r="C31" s="819"/>
      <c r="D31" s="819"/>
      <c r="E31" s="819"/>
      <c r="F31" s="819"/>
      <c r="G31" s="819"/>
      <c r="H31" s="819"/>
      <c r="I31" s="819"/>
    </row>
    <row r="32" spans="2:9">
      <c r="B32" s="819" t="s">
        <v>225</v>
      </c>
      <c r="C32" s="819"/>
      <c r="D32" s="820">
        <v>11569.73</v>
      </c>
      <c r="E32" s="820">
        <v>3985.79</v>
      </c>
      <c r="F32" s="820">
        <v>1.27</v>
      </c>
      <c r="G32" s="820">
        <v>11601.57</v>
      </c>
      <c r="H32" s="820">
        <v>0</v>
      </c>
      <c r="I32" s="820">
        <v>27158.36</v>
      </c>
    </row>
    <row r="33" spans="2:9">
      <c r="B33" s="819" t="s">
        <v>224</v>
      </c>
      <c r="C33" s="819"/>
      <c r="D33" s="820">
        <v>-5943.19</v>
      </c>
      <c r="E33" s="820">
        <v>-1905.61</v>
      </c>
      <c r="F33" s="820">
        <v>-2404.4</v>
      </c>
      <c r="G33" s="820">
        <v>-9040.1299999999992</v>
      </c>
      <c r="H33" s="820">
        <v>0</v>
      </c>
      <c r="I33" s="820">
        <v>-19293.330000000002</v>
      </c>
    </row>
    <row r="34" spans="2:9">
      <c r="B34" s="819" t="s">
        <v>67</v>
      </c>
      <c r="C34" s="819"/>
      <c r="D34" s="819"/>
      <c r="E34" s="819"/>
      <c r="F34" s="819"/>
      <c r="G34" s="819"/>
      <c r="H34" s="819"/>
      <c r="I34" s="819"/>
    </row>
    <row r="35" spans="2:9">
      <c r="B35" s="819" t="s">
        <v>227</v>
      </c>
      <c r="C35" s="819"/>
      <c r="D35" s="820">
        <v>16935.439999999999</v>
      </c>
      <c r="E35" s="820">
        <v>6827.58</v>
      </c>
      <c r="F35" s="820">
        <v>529.88</v>
      </c>
      <c r="G35" s="820">
        <v>11794.92</v>
      </c>
      <c r="H35" s="820">
        <v>0</v>
      </c>
      <c r="I35" s="820">
        <v>36087.82</v>
      </c>
    </row>
    <row r="36" spans="2:9">
      <c r="B36" s="819" t="s">
        <v>226</v>
      </c>
      <c r="C36" s="819"/>
      <c r="D36" s="820">
        <v>-4216.1099999999997</v>
      </c>
      <c r="E36" s="820">
        <v>-1905.61</v>
      </c>
      <c r="F36" s="820">
        <v>-2444.48</v>
      </c>
      <c r="G36" s="820">
        <v>-9190.7900000000009</v>
      </c>
      <c r="H36" s="820">
        <v>0</v>
      </c>
      <c r="I36" s="820">
        <v>-17757</v>
      </c>
    </row>
    <row r="37" spans="2:9">
      <c r="B37" s="819" t="s">
        <v>67</v>
      </c>
      <c r="C37" s="819"/>
      <c r="D37" s="819"/>
      <c r="E37" s="819"/>
      <c r="F37" s="819"/>
      <c r="G37" s="819"/>
      <c r="H37" s="819"/>
      <c r="I37" s="819"/>
    </row>
    <row r="38" spans="2:9">
      <c r="B38" s="819" t="s">
        <v>229</v>
      </c>
      <c r="C38" s="819"/>
      <c r="D38" s="820">
        <v>9793.99</v>
      </c>
      <c r="E38" s="820">
        <v>6827.58</v>
      </c>
      <c r="F38" s="820">
        <v>535.87</v>
      </c>
      <c r="G38" s="820">
        <v>11928.38</v>
      </c>
      <c r="H38" s="820">
        <v>0</v>
      </c>
      <c r="I38" s="820">
        <v>29085.82</v>
      </c>
    </row>
    <row r="39" spans="2:9">
      <c r="B39" s="819" t="s">
        <v>228</v>
      </c>
      <c r="C39" s="819"/>
      <c r="D39" s="820">
        <v>-2438.23</v>
      </c>
      <c r="E39" s="820">
        <v>-1905.61</v>
      </c>
      <c r="F39" s="820">
        <v>-2472.12</v>
      </c>
      <c r="G39" s="820">
        <v>-9294.7800000000007</v>
      </c>
      <c r="H39" s="820">
        <v>0</v>
      </c>
      <c r="I39" s="820">
        <v>-16110.74</v>
      </c>
    </row>
    <row r="40" spans="2:9">
      <c r="B40" s="819" t="s">
        <v>67</v>
      </c>
      <c r="C40" s="819"/>
      <c r="D40" s="819"/>
      <c r="E40" s="819"/>
      <c r="F40" s="819"/>
      <c r="G40" s="819"/>
      <c r="H40" s="819"/>
      <c r="I40" s="819"/>
    </row>
    <row r="41" spans="2:9">
      <c r="B41" s="819" t="s">
        <v>43</v>
      </c>
      <c r="C41" s="819"/>
      <c r="D41" s="820">
        <v>752.15</v>
      </c>
      <c r="E41" s="820">
        <v>531.95000000000005</v>
      </c>
      <c r="F41" s="820">
        <v>-551.35</v>
      </c>
      <c r="G41" s="820">
        <v>1301.46</v>
      </c>
      <c r="H41" s="820">
        <v>0</v>
      </c>
      <c r="I41" s="820">
        <v>2034.22</v>
      </c>
    </row>
    <row r="42" spans="2:9">
      <c r="B42" s="819" t="s">
        <v>240</v>
      </c>
      <c r="C42" s="819"/>
      <c r="D42" s="821">
        <v>24450</v>
      </c>
      <c r="E42" s="821">
        <v>14564</v>
      </c>
      <c r="F42" s="821">
        <v>-11824</v>
      </c>
      <c r="G42" s="821">
        <v>22231</v>
      </c>
      <c r="H42" s="821">
        <v>0</v>
      </c>
      <c r="I42" s="821">
        <v>49421</v>
      </c>
    </row>
  </sheetData>
  <mergeCells count="1">
    <mergeCell ref="B16:X16"/>
  </mergeCells>
  <pageMargins left="0.7" right="0.7" top="0.75" bottom="0.75" header="0.3" footer="0.3"/>
  <pageSetup paperSize="5"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24</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Judy But</cp:lastModifiedBy>
  <cp:lastPrinted>2020-10-09T18:43:33Z</cp:lastPrinted>
  <dcterms:created xsi:type="dcterms:W3CDTF">2012-03-05T18:56:04Z</dcterms:created>
  <dcterms:modified xsi:type="dcterms:W3CDTF">2021-01-26T19:54:36Z</dcterms:modified>
</cp:coreProperties>
</file>