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filterPrivacy="1"/>
  <mc:AlternateContent xmlns:mc="http://schemas.openxmlformats.org/markup-compatibility/2006">
    <mc:Choice Requires="x15">
      <x15ac:absPath xmlns:x15ac="http://schemas.microsoft.com/office/spreadsheetml/2010/11/ac" url="C:\Users\FHo\AppData\Local\Temp\dnahfiss\"/>
    </mc:Choice>
  </mc:AlternateContent>
  <bookViews>
    <workbookView xWindow="2340" yWindow="0" windowWidth="32990" windowHeight="12750" activeTab="0"/>
  </bookViews>
  <sheets>
    <sheet name="Model Inputs" sheetId="4" r:id="rId2"/>
    <sheet name="Benchmarking Calculations" sheetId="1" r:id="rId3"/>
    <sheet name="Results" sheetId="5" r:id="rId4"/>
  </sheets>
  <definedNames>
    <definedName name="_Parse_Out" localSheetId="1" hidden="1">#REF!</definedName>
  </definedNames>
  <calcPr calcId="162913" iterate="1" iterateCount="100" iterateDelta="0.00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2" i="4" l="1"/>
</calcChain>
</file>

<file path=xl/sharedStrings.xml><?xml version="1.0" encoding="utf-8"?>
<sst xmlns="http://schemas.openxmlformats.org/spreadsheetml/2006/main" count="503" uniqueCount="291">
  <si>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</si>
  <si>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</si>
  <si>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</si>
  <si>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</si>
  <si>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</si>
  <si>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</si>
  <si>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</si>
  <si>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</si>
  <si>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</si>
  <si>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</si>
  <si>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</si>
  <si>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</si>
  <si>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</si>
  <si>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</si>
  <si>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</si>
  <si>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</si>
  <si>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</si>
  <si>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</si>
  <si>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</si>
  <si>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</si>
  <si>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</si>
  <si>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</si>
  <si>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</si>
  <si>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</si>
  <si>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</si>
  <si>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</si>
  <si>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</si>
  <si>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</si>
  <si>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</si>
  <si>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</si>
  <si>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</si>
  <si>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</si>
  <si>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</si>
  <si>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</si>
  <si>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</si>
  <si>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</si>
  <si>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</si>
  <si>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</si>
  <si>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</si>
  <si>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</si>
  <si>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</si>
  <si>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</si>
  <si>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</si>
  <si>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</si>
  <si>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</si>
  <si>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</si>
  <si>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</si>
  <si>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</si>
  <si>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</si>
  <si>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</si>
  <si>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</si>
  <si>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</si>
  <si>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</si>
  <si>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</si>
  <si>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</si>
  <si>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</si>
  <si>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</si>
  <si>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</si>
  <si>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</si>
  <si>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</si>
  <si>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</si>
  <si>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</si>
  <si>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</si>
  <si>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</si>
  <si>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</si>
  <si>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</si>
  <si>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</si>
  <si>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</si>
  <si>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</si>
  <si>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</si>
  <si>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</si>
  <si>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</si>
  <si>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</si>
  <si>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</si>
  <si>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</si>
  <si>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</si>
  <si>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</si>
  <si>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</si>
  <si>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</si>
  <si>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</si>
  <si>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</si>
  <si>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</si>
  <si>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</si>
  <si>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</si>
  <si>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</si>
  <si>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</si>
  <si>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</si>
  <si>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</si>
  <si>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</si>
  <si>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</si>
  <si>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</si>
  <si>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</si>
  <si>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</si>
  <si>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</si>
  <si>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</si>
  <si>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</si>
  <si>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</si>
  <si>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</si>
  <si>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</si>
  <si>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</si>
  <si>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</si>
  <si>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</si>
  <si>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</si>
  <si>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</si>
  <si>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</si>
  <si>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</si>
  <si>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</si>
  <si>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</si>
  <si>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</si>
  <si>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</si>
  <si>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</si>
  <si>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</si>
  <si>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</si>
  <si>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</si>
  <si>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</si>
  <si>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</si>
  <si>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</si>
  <si>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</si>
  <si>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</si>
  <si>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</si>
  <si>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</si>
  <si>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</si>
  <si>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</si>
  <si>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</si>
  <si>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</si>
  <si>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</si>
  <si>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</si>
  <si>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</si>
  <si>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</si>
  <si>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</si>
  <si>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</si>
  <si>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</si>
  <si>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</si>
  <si>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</si>
  <si>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</si>
  <si>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</si>
  <si>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</si>
  <si>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</si>
  <si>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</si>
  <si>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</si>
  <si>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</si>
  <si>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</si>
  <si>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</si>
  <si>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</si>
  <si>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</si>
  <si>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</si>
  <si>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</si>
  <si>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</si>
  <si>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</si>
  <si>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</si>
  <si>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</si>
  <si>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</si>
  <si>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</si>
  <si>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</si>
  <si>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</si>
  <si>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</si>
  <si>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</si>
  <si>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</si>
  <si>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</si>
  <si>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</si>
  <si>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</si>
  <si>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</si>
  <si>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</si>
  <si>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</si>
  <si>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</si>
  <si>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</si>
  <si>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</si>
  <si>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</si>
  <si>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</si>
  <si>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</si>
  <si>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</si>
  <si>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</si>
  <si>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</si>
  <si>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</si>
  <si>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</si>
  <si>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</si>
  <si>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</si>
  <si>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</si>
  <si>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</si>
  <si>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</si>
  <si>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</si>
  <si>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</si>
  <si>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</si>
  <si>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</si>
  <si>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</si>
  <si>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</si>
  <si>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</si>
  <si>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</si>
  <si>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</si>
  <si>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</si>
  <si>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</si>
  <si>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</si>
  <si>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</si>
  <si>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</si>
  <si>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</si>
  <si>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</si>
  <si>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</si>
  <si>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</si>
  <si>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</si>
  <si>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Oshawa PUC Networks Inc.</t>
  </si>
  <si>
    <t>Average Hourly Earnings  [70% Weight]</t>
  </si>
  <si>
    <t>The values provided for 2020-2025 are placeholder values that must be replaced</t>
  </si>
  <si>
    <t>** Not Custom IR: 2022-2025 estimates **</t>
  </si>
  <si>
    <t>Distribution Expenses - Operation</t>
  </si>
  <si>
    <t>Station Buildings and Fixtures Expense</t>
  </si>
  <si>
    <t>Transformer Station Equipment - Operation Labour</t>
  </si>
  <si>
    <t>Distribution Station Equipment - Operation Labour</t>
  </si>
  <si>
    <t>Overhead Distribution Lines and Feeders - Operation Labour</t>
  </si>
  <si>
    <t>Overhead Subtransmission Feeders - Operation</t>
  </si>
  <si>
    <t>Underground Distribution Lines and Feeders - Operation Labour</t>
  </si>
  <si>
    <t>Underground Subtransmission Feeders - Operation</t>
  </si>
  <si>
    <t>Underground Distribution Transformers - Operation</t>
  </si>
  <si>
    <t>Street Lighting and Signal System Expense</t>
  </si>
  <si>
    <t>Customer Premises - Operation Labour</t>
  </si>
  <si>
    <t>Customer Premises - Materials and Expenses</t>
  </si>
  <si>
    <t>Other Rent</t>
  </si>
  <si>
    <t>Distribution Expenses - Maintenance</t>
  </si>
  <si>
    <t>Maintenance of Structures</t>
  </si>
  <si>
    <t>Mtaint Dist Stn Equip</t>
  </si>
  <si>
    <t>Maintenance of Street Lighting and Signal Systems</t>
  </si>
  <si>
    <t>Sentinel Lights - Labour</t>
  </si>
  <si>
    <t>Sentinel Lights - Materials and Expenses</t>
  </si>
  <si>
    <t>Customer Installations Expenses - Leased Property</t>
  </si>
  <si>
    <t>Maintenance of Other Installations on Customer Premises</t>
  </si>
  <si>
    <t>Other Expenses</t>
  </si>
  <si>
    <t>Purchase of Transmission and System Services</t>
  </si>
  <si>
    <t>Transmission Charges</t>
  </si>
  <si>
    <t>Transmission Charges Recovered</t>
  </si>
  <si>
    <t>Billing and Collecting</t>
  </si>
  <si>
    <t>Supervision</t>
  </si>
  <si>
    <t>Bad Debt Expense</t>
  </si>
  <si>
    <t>Miscellaneous Customer Accounts Expenses</t>
  </si>
  <si>
    <t>Community Relations</t>
  </si>
  <si>
    <t>Energy Conservation</t>
  </si>
  <si>
    <t>Sales Expenses</t>
  </si>
  <si>
    <t>Demonstrating and Selling Expense</t>
  </si>
  <si>
    <t>Advertising Expense</t>
  </si>
  <si>
    <t>Miscellaneous Sales Expense</t>
  </si>
  <si>
    <t>Administrative and General Expenses</t>
  </si>
  <si>
    <t>Office Supplies and Expenses</t>
  </si>
  <si>
    <t>Administrative Expense Transferred-Credit</t>
  </si>
  <si>
    <t>OMERS Pensions and Benefits (IAS 19)</t>
  </si>
  <si>
    <t>Employee Pensions and OPEB (IAS 19)</t>
  </si>
  <si>
    <t>Employee Sick Leave (IAS 19)</t>
  </si>
  <si>
    <t>General Advertising Expenses</t>
  </si>
  <si>
    <t>Miscellaneous Expenses</t>
  </si>
  <si>
    <t xml:space="preserve">Rent  </t>
  </si>
  <si>
    <t>MEI Special Purpose Charge</t>
  </si>
  <si>
    <t>Independent Market Operator Fees and Penalties</t>
  </si>
  <si>
    <t>OM&amp;A Contra Account</t>
  </si>
  <si>
    <t>Amortization Expense</t>
  </si>
  <si>
    <t>Amortization Expense - Property, Plant and Equipment</t>
  </si>
  <si>
    <t>Amortization of Limited Term Electric Plant</t>
  </si>
  <si>
    <t>Amortization of Intangibles and Other Electric Plant</t>
  </si>
  <si>
    <t>Amortization of Electric Plant Acquisition Adjustments</t>
  </si>
  <si>
    <t>Miscellaneous Amortization</t>
  </si>
  <si>
    <t>Amortization of Unrecovered Plant and Regulatory Study Costs</t>
  </si>
  <si>
    <t>Amortization of Deferred Charges</t>
  </si>
  <si>
    <t>Interest Expense</t>
  </si>
  <si>
    <t>Interest on Long Term Debt</t>
  </si>
  <si>
    <t>Amortization of Debt Discount and Expense</t>
  </si>
  <si>
    <t>Amortization of Premium on Debt-Credit</t>
  </si>
  <si>
    <t>Amortization of Loss on Reacquired Debt</t>
  </si>
  <si>
    <t>Amortization of Gain on Reacquired Debt-Credit</t>
  </si>
  <si>
    <t>Interest on Debt to Associated Companies</t>
  </si>
  <si>
    <t>Other Interest Expense</t>
  </si>
  <si>
    <t>Allowance for Borrowed Funds Used During Construction-Credit</t>
  </si>
  <si>
    <t>Allowance for Other Funds Used During Construction</t>
  </si>
  <si>
    <t>Interest Expense on Capital Lease Obligations</t>
  </si>
  <si>
    <t>Taxes</t>
  </si>
  <si>
    <t>Taxes Other Than Income Taxes</t>
  </si>
  <si>
    <t>Income Taxes</t>
  </si>
  <si>
    <t>Provision for Future Income Taxes</t>
  </si>
  <si>
    <t>Other Deductions</t>
  </si>
  <si>
    <t>Donations</t>
  </si>
  <si>
    <t>Penalties</t>
  </si>
  <si>
    <t>Unusual Items</t>
  </si>
  <si>
    <t>Extraordinary Income</t>
  </si>
  <si>
    <t>Extraordinary Deductions</t>
  </si>
  <si>
    <t>Income Taxes, Extraordinary Items</t>
  </si>
  <si>
    <t>Discontinued Operations</t>
  </si>
  <si>
    <t>Discontinued Operations - Income/Gains</t>
  </si>
  <si>
    <t>Discontinued Operations - Deductions/Losses</t>
  </si>
  <si>
    <t>Income Taxes - Discontinued Operations</t>
  </si>
  <si>
    <t>Other Comprehensive Income</t>
  </si>
  <si>
    <t>Available-for-Sale Financial Asset or Cash Flow Hedge – Other Comp. Income</t>
  </si>
  <si>
    <t>Pension Actuarial Gains/Losses/Re-measurement Adj. - Other Comp. Income</t>
  </si>
  <si>
    <t>Current Taxes – Other Comprehensive Income</t>
  </si>
  <si>
    <t>Deferred Taxes – Other Comprehensive Income</t>
  </si>
  <si>
    <t>Miscellaneous - Other Comprehensive Income</t>
  </si>
  <si>
    <t>Other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</si>
</sst>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_(* #,##0.00_);_(* \(#,##0.00\);_(* &quot;-&quot;_);_(@_)"/>
    <numFmt numFmtId="176" formatCode="#,##0\ ;[Red]\(#,##0\)"/>
  </numFmts>
  <fonts count="21">
    <font>
      <sz val="10"/>
      <name val="MS Sans Serif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name val="MS Sans Serif"/>
      <family val="2"/>
    </font>
    <font>
      <b/>
      <sz val="14"/>
      <name val="MS Sans Serif"/>
      <family val="2"/>
    </font>
    <font>
      <sz val="10"/>
      <color theme="3"/>
      <name val="MS Sans Serif"/>
      <family val="2"/>
    </font>
    <font>
      <b/>
      <sz val="10"/>
      <name val="MS Sans Serif"/>
      <family val="2"/>
    </font>
    <font>
      <sz val="8"/>
      <color rgb="FF000000"/>
      <name val="Arial"/>
      <family val="2"/>
    </font>
    <font>
      <b/>
      <u val="single"/>
      <sz val="10"/>
      <name val="MS Sans Serif"/>
      <family val="2"/>
    </font>
    <font>
      <sz val="10"/>
      <color rgb="FFFF0000"/>
      <name val="MS Sans Serif"/>
      <family val="2"/>
    </font>
    <font>
      <sz val="12"/>
      <name val="MS Sans Serif"/>
      <family val="2"/>
    </font>
    <font>
      <sz val="14"/>
      <name val="MS Sans Serif"/>
      <family val="2"/>
    </font>
    <font>
      <sz val="24"/>
      <name val="MS Sans Serif"/>
      <family val="2"/>
    </font>
    <font>
      <b/>
      <sz val="12"/>
      <name val="MS Sans Serif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/>
      <top/>
      <bottom/>
    </border>
    <border>
      <left/>
      <right/>
      <top/>
      <bottom style="medium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double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/>
      <top/>
      <bottom style="thin">
        <color theme="4" tint="0.39998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16" fillId="0" borderId="0">
      <alignment/>
      <protection/>
    </xf>
  </cellStyleXfs>
  <cellXfs count="28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8" applyNumberFormat="1" applyFont="1" applyFill="1"/>
    <xf numFmtId="0" fontId="5" fillId="0" borderId="0" xfId="0" applyFont="1" applyFill="1"/>
    <xf numFmtId="0" fontId="0" fillId="0" borderId="0" xfId="0" applyFill="1" applyAlignment="1">
      <alignment horizontal="center"/>
    </xf>
    <xf numFmtId="0" fontId="6" fillId="0" borderId="0" xfId="0" applyFont="1"/>
    <xf numFmtId="0" fontId="0" fillId="0" borderId="0" xfId="0" applyAlignment="1">
      <alignment horizontal="left"/>
    </xf>
    <xf numFmtId="0" fontId="7" fillId="0" borderId="0" xfId="20" applyFont="1" applyFill="1" applyBorder="1" applyAlignment="1">
      <alignment vertical="center"/>
      <protection/>
    </xf>
    <xf numFmtId="0" fontId="0" fillId="0" borderId="0" xfId="0" applyBorder="1" applyAlignment="1">
      <alignment horizontal="center"/>
    </xf>
    <xf numFmtId="165" fontId="0" fillId="0" borderId="0" xfId="18" applyFont="1" applyAlignment="1">
      <alignment horizontal="center"/>
    </xf>
    <xf numFmtId="0" fontId="7" fillId="0" borderId="0" xfId="20" applyFont="1" applyFill="1" applyBorder="1" applyAlignment="1">
      <alignment horizontal="left" vertical="center"/>
      <protection/>
    </xf>
    <xf numFmtId="0" fontId="6" fillId="0" borderId="0" xfId="0" applyFont="1" applyAlignment="1">
      <alignment horizontal="left"/>
    </xf>
    <xf numFmtId="165" fontId="0" fillId="0" borderId="0" xfId="18" applyFont="1"/>
    <xf numFmtId="0" fontId="0" fillId="0" borderId="0" xfId="0" applyAlignment="1">
      <alignment/>
    </xf>
    <xf numFmtId="0" fontId="0" fillId="0" borderId="0" xfId="0" applyFill="1" applyAlignment="1">
      <alignment horizontal="left"/>
    </xf>
    <xf numFmtId="165" fontId="0" fillId="0" borderId="0" xfId="0" applyNumberFormat="1"/>
    <xf numFmtId="0" fontId="6" fillId="0" borderId="0" xfId="0" applyFont="1" applyAlignment="1">
      <alignment/>
    </xf>
    <xf numFmtId="0" fontId="0" fillId="0" borderId="0" xfId="0" applyFill="1" applyAlignment="1">
      <alignment/>
    </xf>
    <xf numFmtId="167" fontId="0" fillId="0" borderId="0" xfId="18" applyNumberFormat="1" applyFont="1"/>
    <xf numFmtId="167" fontId="0" fillId="0" borderId="0" xfId="0" applyNumberFormat="1" applyFill="1"/>
    <xf numFmtId="0" fontId="0" fillId="0" borderId="0" xfId="0" applyBorder="1"/>
    <xf numFmtId="0" fontId="8" fillId="0" borderId="0" xfId="0" applyFont="1" applyFill="1" applyBorder="1"/>
    <xf numFmtId="0" fontId="6" fillId="0" borderId="0" xfId="0" applyFont="1" applyFill="1"/>
    <xf numFmtId="165" fontId="0" fillId="0" borderId="0" xfId="0" applyNumberFormat="1" applyFill="1"/>
    <xf numFmtId="10" fontId="0" fillId="0" borderId="0" xfId="15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8" applyNumberFormat="1" applyFont="1" applyFill="1"/>
    <xf numFmtId="0" fontId="8" fillId="0" borderId="0" xfId="0" applyFont="1" applyFill="1"/>
    <xf numFmtId="0" fontId="6" fillId="0" borderId="1" xfId="0" applyFont="1" applyFill="1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15" applyNumberFormat="1" applyFont="1" applyFill="1"/>
    <xf numFmtId="165" fontId="0" fillId="0" borderId="0" xfId="18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8" applyNumberFormat="1" applyFont="1" applyFill="1" applyBorder="1"/>
    <xf numFmtId="173" fontId="0" fillId="0" borderId="0" xfId="18" applyNumberFormat="1" applyFont="1"/>
    <xf numFmtId="173" fontId="0" fillId="0" borderId="0" xfId="18" applyNumberFormat="1" applyFont="1" applyFill="1"/>
    <xf numFmtId="173" fontId="0" fillId="0" borderId="0" xfId="0" applyNumberFormat="1"/>
    <xf numFmtId="172" fontId="0" fillId="0" borderId="0" xfId="18" applyNumberFormat="1" applyFont="1" applyFill="1"/>
    <xf numFmtId="167" fontId="0" fillId="0" borderId="0" xfId="18" applyNumberFormat="1" applyFont="1" applyFill="1" applyBorder="1"/>
    <xf numFmtId="167" fontId="0" fillId="0" borderId="0" xfId="0" applyNumberFormat="1"/>
    <xf numFmtId="174" fontId="0" fillId="0" borderId="0" xfId="15" applyNumberFormat="1" applyFont="1" applyFill="1"/>
    <xf numFmtId="174" fontId="0" fillId="0" borderId="0" xfId="15" applyNumberFormat="1" applyFont="1" applyFill="1" applyBorder="1"/>
    <xf numFmtId="0" fontId="9" fillId="0" borderId="0" xfId="0" applyFont="1" applyFill="1"/>
    <xf numFmtId="0" fontId="0" fillId="0" borderId="0" xfId="0" applyFont="1" applyFill="1" applyBorder="1"/>
    <xf numFmtId="0" fontId="6" fillId="0" borderId="0" xfId="0" applyFont="1" applyFill="1" applyBorder="1"/>
    <xf numFmtId="167" fontId="0" fillId="0" borderId="0" xfId="18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15" applyNumberFormat="1" applyFont="1" applyFill="1" applyAlignment="1">
      <alignment horizontal="center"/>
    </xf>
    <xf numFmtId="10" fontId="6" fillId="0" borderId="2" xfId="15" applyNumberFormat="1" applyFont="1" applyFill="1" applyBorder="1" applyAlignment="1">
      <alignment horizontal="center"/>
    </xf>
    <xf numFmtId="10" fontId="0" fillId="0" borderId="0" xfId="15" applyNumberFormat="1" applyFont="1" applyFill="1" applyAlignment="1">
      <alignment/>
    </xf>
    <xf numFmtId="10" fontId="0" fillId="0" borderId="0" xfId="0" applyNumberFormat="1" applyAlignment="1">
      <alignment horizontal="center"/>
    </xf>
    <xf numFmtId="0" fontId="0" fillId="0" borderId="3" xfId="0" applyFont="1" applyFill="1" applyBorder="1"/>
    <xf numFmtId="10" fontId="0" fillId="0" borderId="2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0" xfId="0" applyFont="1" applyBorder="1" applyAlignment="1">
      <alignment/>
    </xf>
    <xf numFmtId="0" fontId="0" fillId="0" borderId="0" xfId="0" applyBorder="1" applyAlignment="1">
      <alignment/>
    </xf>
    <xf numFmtId="0" fontId="0" fillId="0" borderId="0" xfId="0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67" fontId="6" fillId="0" borderId="0" xfId="18" applyNumberFormat="1" applyFont="1" applyFill="1" applyBorder="1"/>
    <xf numFmtId="167" fontId="0" fillId="0" borderId="0" xfId="18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>
      <alignment/>
    </xf>
    <xf numFmtId="167" fontId="0" fillId="0" borderId="0" xfId="0" applyNumberFormat="1" applyFill="1" applyBorder="1"/>
    <xf numFmtId="167" fontId="0" fillId="0" borderId="0" xfId="18" applyNumberFormat="1" applyFont="1" applyBorder="1"/>
    <xf numFmtId="0" fontId="0" fillId="0" borderId="7" xfId="0" applyBorder="1" applyAlignment="1">
      <alignment horizontal="center" vertical="center"/>
    </xf>
    <xf numFmtId="10" fontId="0" fillId="0" borderId="0" xfId="15" applyNumberFormat="1" applyFont="1" applyBorder="1"/>
    <xf numFmtId="0" fontId="4" fillId="0" borderId="0" xfId="0" applyFont="1" applyAlignment="1">
      <alignment horizontal="center"/>
    </xf>
    <xf numFmtId="10" fontId="0" fillId="0" borderId="0" xfId="15" applyNumberFormat="1" applyFont="1" applyFill="1" applyBorder="1"/>
    <xf numFmtId="167" fontId="0" fillId="0" borderId="0" xfId="18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15" applyNumberFormat="1" applyFont="1" applyFill="1" applyBorder="1" applyAlignment="1">
      <alignment horizontal="center"/>
    </xf>
    <xf numFmtId="165" fontId="0" fillId="0" borderId="0" xfId="18" applyFont="1" applyFill="1" applyAlignment="1">
      <alignment horizontal="center"/>
    </xf>
    <xf numFmtId="165" fontId="11" fillId="0" borderId="0" xfId="18" applyFont="1" applyFill="1" applyAlignment="1">
      <alignment horizontal="left"/>
    </xf>
    <xf numFmtId="165" fontId="10" fillId="0" borderId="0" xfId="18" applyFont="1" applyFill="1" applyAlignment="1">
      <alignment horizontal="left"/>
    </xf>
    <xf numFmtId="167" fontId="0" fillId="4" borderId="0" xfId="18" applyNumberFormat="1" applyFont="1" applyFill="1"/>
    <xf numFmtId="0" fontId="4" fillId="0" borderId="0" xfId="0" applyFont="1" applyFill="1"/>
    <xf numFmtId="0" fontId="0" fillId="0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8" applyNumberFormat="1" applyFont="1" applyFill="1" applyAlignment="1">
      <alignment horizontal="center"/>
    </xf>
    <xf numFmtId="10" fontId="0" fillId="0" borderId="0" xfId="15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>
      <alignment/>
    </xf>
    <xf numFmtId="167" fontId="6" fillId="0" borderId="0" xfId="18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7" fontId="0" fillId="0" borderId="1" xfId="18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4" borderId="0" xfId="0" applyFill="1"/>
    <xf numFmtId="165" fontId="0" fillId="4" borderId="0" xfId="18" applyFont="1" applyFill="1" applyAlignment="1">
      <alignment horizontal="center"/>
    </xf>
    <xf numFmtId="165" fontId="0" fillId="4" borderId="0" xfId="18" applyFont="1" applyFill="1"/>
    <xf numFmtId="165" fontId="0" fillId="4" borderId="0" xfId="0" applyNumberFormat="1" applyFill="1"/>
    <xf numFmtId="0" fontId="9" fillId="4" borderId="0" xfId="0" applyFont="1" applyFill="1"/>
    <xf numFmtId="167" fontId="0" fillId="2" borderId="9" xfId="0" applyNumberFormat="1" applyFill="1" applyBorder="1"/>
    <xf numFmtId="0" fontId="13" fillId="0" borderId="0" xfId="0" applyFont="1" applyAlignment="1">
      <alignment horizontal="center"/>
    </xf>
    <xf numFmtId="0" fontId="12" fillId="0" borderId="0" xfId="0" applyFont="1" applyFill="1" applyBorder="1"/>
    <xf numFmtId="10" fontId="0" fillId="2" borderId="9" xfId="15" applyNumberFormat="1" applyFont="1" applyFill="1" applyBorder="1" applyAlignment="1">
      <alignment horizontal="center"/>
    </xf>
    <xf numFmtId="167" fontId="0" fillId="2" borderId="9" xfId="18" applyNumberFormat="1" applyFont="1" applyFill="1" applyBorder="1"/>
    <xf numFmtId="0" fontId="0" fillId="4" borderId="10" xfId="0" applyFill="1" applyBorder="1" applyAlignment="1">
      <alignment/>
    </xf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9" xfId="18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8" xfId="0" applyFill="1" applyBorder="1" applyAlignment="1">
      <alignment vertical="center"/>
    </xf>
    <xf numFmtId="167" fontId="0" fillId="0" borderId="10" xfId="18" applyNumberFormat="1" applyFont="1" applyFill="1" applyBorder="1"/>
    <xf numFmtId="10" fontId="6" fillId="0" borderId="0" xfId="15" applyNumberFormat="1" applyFont="1" applyBorder="1" applyAlignment="1">
      <alignment horizontal="center"/>
    </xf>
    <xf numFmtId="37" fontId="2" fillId="0" borderId="0" xfId="18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6" fillId="0" borderId="11" xfId="0" applyFont="1" applyBorder="1"/>
    <xf numFmtId="0" fontId="0" fillId="0" borderId="12" xfId="0" applyBorder="1" applyAlignment="1">
      <alignment horizontal="left"/>
    </xf>
    <xf numFmtId="0" fontId="6" fillId="0" borderId="5" xfId="0" applyFont="1" applyBorder="1"/>
    <xf numFmtId="0" fontId="0" fillId="0" borderId="13" xfId="0" applyBorder="1" applyAlignment="1">
      <alignment horizontal="left"/>
    </xf>
    <xf numFmtId="0" fontId="6" fillId="0" borderId="14" xfId="0" applyFont="1" applyBorder="1"/>
    <xf numFmtId="167" fontId="0" fillId="0" borderId="6" xfId="18" applyNumberFormat="1" applyFont="1" applyFill="1" applyBorder="1"/>
    <xf numFmtId="0" fontId="0" fillId="0" borderId="15" xfId="0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center"/>
    </xf>
    <xf numFmtId="0" fontId="0" fillId="0" borderId="6" xfId="0" applyBorder="1" applyAlignment="1">
      <alignment/>
    </xf>
    <xf numFmtId="0" fontId="0" fillId="0" borderId="6" xfId="0" applyBorder="1" applyAlignment="1">
      <alignment horizontal="left"/>
    </xf>
    <xf numFmtId="167" fontId="0" fillId="0" borderId="6" xfId="18" applyNumberFormat="1" applyFont="1" applyBorder="1" applyAlignment="1">
      <alignment horizontal="center"/>
    </xf>
    <xf numFmtId="167" fontId="0" fillId="0" borderId="6" xfId="18" applyNumberFormat="1" applyFont="1" applyFill="1" applyBorder="1" applyAlignment="1">
      <alignment horizontal="center"/>
    </xf>
    <xf numFmtId="167" fontId="0" fillId="0" borderId="6" xfId="0" applyNumberFormat="1" applyFill="1" applyBorder="1"/>
    <xf numFmtId="174" fontId="0" fillId="0" borderId="0" xfId="15" applyNumberFormat="1" applyFont="1" applyBorder="1"/>
    <xf numFmtId="174" fontId="0" fillId="0" borderId="0" xfId="0" applyNumberFormat="1"/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167" fontId="6" fillId="2" borderId="9" xfId="18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left"/>
    </xf>
    <xf numFmtId="0" fontId="0" fillId="4" borderId="0" xfId="18" applyNumberFormat="1" applyFont="1" applyFill="1" applyAlignment="1">
      <alignment horizontal="center"/>
    </xf>
    <xf numFmtId="167" fontId="0" fillId="4" borderId="0" xfId="18" applyNumberFormat="1" applyFont="1" applyFill="1" applyAlignment="1">
      <alignment horizontal="center"/>
    </xf>
    <xf numFmtId="0" fontId="0" fillId="5" borderId="1" xfId="0" applyFill="1" applyBorder="1" applyAlignment="1">
      <alignment/>
    </xf>
    <xf numFmtId="0" fontId="0" fillId="4" borderId="0" xfId="0" applyFill="1" applyAlignment="1">
      <alignment wrapText="1"/>
    </xf>
    <xf numFmtId="10" fontId="0" fillId="4" borderId="0" xfId="15" applyNumberFormat="1" applyFont="1" applyFill="1"/>
    <xf numFmtId="0" fontId="0" fillId="0" borderId="0" xfId="0" applyFill="1" applyAlignment="1">
      <alignment wrapText="1"/>
    </xf>
    <xf numFmtId="0" fontId="0" fillId="0" borderId="1" xfId="0" applyBorder="1" applyAlignment="1">
      <alignment/>
    </xf>
    <xf numFmtId="167" fontId="0" fillId="2" borderId="3" xfId="18" applyNumberFormat="1" applyFont="1" applyFill="1" applyBorder="1"/>
    <xf numFmtId="167" fontId="0" fillId="2" borderId="16" xfId="18" applyNumberFormat="1" applyFont="1" applyFill="1" applyBorder="1"/>
    <xf numFmtId="167" fontId="0" fillId="2" borderId="2" xfId="18" applyNumberFormat="1" applyFont="1" applyFill="1" applyBorder="1"/>
    <xf numFmtId="10" fontId="0" fillId="2" borderId="3" xfId="15" applyNumberFormat="1" applyFont="1" applyFill="1" applyBorder="1"/>
    <xf numFmtId="10" fontId="0" fillId="2" borderId="16" xfId="15" applyNumberFormat="1" applyFont="1" applyFill="1" applyBorder="1"/>
    <xf numFmtId="10" fontId="0" fillId="2" borderId="2" xfId="15" applyNumberFormat="1" applyFont="1" applyFill="1" applyBorder="1"/>
    <xf numFmtId="165" fontId="0" fillId="2" borderId="3" xfId="18" applyNumberFormat="1" applyFont="1" applyFill="1" applyBorder="1"/>
    <xf numFmtId="165" fontId="0" fillId="2" borderId="16" xfId="18" applyNumberFormat="1" applyFont="1" applyFill="1" applyBorder="1"/>
    <xf numFmtId="165" fontId="0" fillId="2" borderId="2" xfId="18" applyNumberFormat="1" applyFont="1" applyFill="1" applyBorder="1"/>
    <xf numFmtId="167" fontId="0" fillId="2" borderId="11" xfId="18" applyNumberFormat="1" applyFont="1" applyFill="1" applyBorder="1"/>
    <xf numFmtId="167" fontId="0" fillId="2" borderId="4" xfId="18" applyNumberFormat="1" applyFont="1" applyFill="1" applyBorder="1"/>
    <xf numFmtId="167" fontId="0" fillId="2" borderId="12" xfId="18" applyNumberFormat="1" applyFont="1" applyFill="1" applyBorder="1"/>
    <xf numFmtId="167" fontId="0" fillId="2" borderId="14" xfId="18" applyNumberFormat="1" applyFont="1" applyFill="1" applyBorder="1"/>
    <xf numFmtId="167" fontId="0" fillId="2" borderId="6" xfId="18" applyNumberFormat="1" applyFont="1" applyFill="1" applyBorder="1"/>
    <xf numFmtId="167" fontId="0" fillId="2" borderId="15" xfId="18" applyNumberFormat="1" applyFont="1" applyFill="1" applyBorder="1"/>
    <xf numFmtId="169" fontId="0" fillId="2" borderId="3" xfId="0" applyNumberFormat="1" applyFill="1" applyBorder="1"/>
    <xf numFmtId="169" fontId="0" fillId="2" borderId="16" xfId="0" applyNumberFormat="1" applyFill="1" applyBorder="1"/>
    <xf numFmtId="169" fontId="0" fillId="2" borderId="2" xfId="0" applyNumberFormat="1" applyFill="1" applyBorder="1"/>
    <xf numFmtId="165" fontId="0" fillId="2" borderId="3" xfId="18" applyFont="1" applyFill="1" applyBorder="1"/>
    <xf numFmtId="165" fontId="0" fillId="2" borderId="16" xfId="18" applyFont="1" applyFill="1" applyBorder="1"/>
    <xf numFmtId="165" fontId="0" fillId="2" borderId="2" xfId="18" applyFont="1" applyFill="1" applyBorder="1"/>
    <xf numFmtId="0" fontId="0" fillId="4" borderId="0" xfId="0" applyFill="1" applyBorder="1" applyAlignment="1">
      <alignment/>
    </xf>
    <xf numFmtId="174" fontId="6" fillId="0" borderId="0" xfId="15" applyNumberFormat="1" applyFont="1" applyBorder="1" applyAlignment="1">
      <alignment horizontal="center"/>
    </xf>
    <xf numFmtId="0" fontId="7" fillId="0" borderId="0" xfId="20" applyFont="1" applyFill="1" applyBorder="1" applyAlignment="1">
      <alignment horizontal="center" vertical="center"/>
      <protection/>
    </xf>
    <xf numFmtId="0" fontId="0" fillId="0" borderId="0" xfId="0" applyFill="1" applyAlignment="1">
      <alignment horizontal="left" vertical="center" wrapText="1"/>
    </xf>
    <xf numFmtId="0" fontId="14" fillId="6" borderId="17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15" applyNumberFormat="1" applyFont="1" applyFill="1" applyAlignment="1">
      <alignment horizontal="center"/>
    </xf>
    <xf numFmtId="167" fontId="0" fillId="4" borderId="0" xfId="18" applyNumberFormat="1" applyFont="1" applyFill="1" applyAlignment="1">
      <alignment horizontal="center" wrapText="1"/>
    </xf>
    <xf numFmtId="10" fontId="0" fillId="4" borderId="0" xfId="15" applyNumberFormat="1" applyFont="1" applyFill="1" applyAlignment="1">
      <alignment horizontal="center" wrapText="1"/>
    </xf>
    <xf numFmtId="10" fontId="6" fillId="0" borderId="3" xfId="15" applyNumberFormat="1" applyFont="1" applyFill="1" applyBorder="1"/>
    <xf numFmtId="10" fontId="6" fillId="0" borderId="16" xfId="15" applyNumberFormat="1" applyFont="1" applyFill="1" applyBorder="1"/>
    <xf numFmtId="10" fontId="0" fillId="0" borderId="0" xfId="15" applyNumberFormat="1" applyFont="1"/>
    <xf numFmtId="0" fontId="0" fillId="4" borderId="0" xfId="15" applyNumberFormat="1" applyFont="1" applyFill="1"/>
    <xf numFmtId="165" fontId="0" fillId="7" borderId="0" xfId="18" applyFont="1" applyFill="1" applyAlignment="1">
      <alignment horizontal="center"/>
    </xf>
    <xf numFmtId="10" fontId="0" fillId="7" borderId="0" xfId="15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center" wrapText="1"/>
    </xf>
    <xf numFmtId="0" fontId="0" fillId="7" borderId="0" xfId="0" applyFill="1" applyBorder="1" applyAlignment="1">
      <alignment horizontal="center"/>
    </xf>
    <xf numFmtId="0" fontId="0" fillId="7" borderId="0" xfId="0" applyFill="1" applyBorder="1" applyAlignment="1">
      <alignment horizontal="center" vertical="center" wrapText="1"/>
    </xf>
    <xf numFmtId="167" fontId="0" fillId="7" borderId="0" xfId="18" applyNumberFormat="1" applyFont="1" applyFill="1" applyBorder="1" applyAlignment="1">
      <alignment horizontal="center"/>
    </xf>
    <xf numFmtId="165" fontId="0" fillId="7" borderId="0" xfId="0" applyNumberFormat="1" applyFill="1" applyAlignment="1">
      <alignment horizontal="center"/>
    </xf>
    <xf numFmtId="167" fontId="0" fillId="7" borderId="0" xfId="18" applyNumberFormat="1" applyFont="1" applyFill="1" applyAlignment="1">
      <alignment horizontal="center"/>
    </xf>
    <xf numFmtId="167" fontId="0" fillId="7" borderId="0" xfId="0" applyNumberFormat="1" applyFill="1" applyAlignment="1">
      <alignment horizontal="center"/>
    </xf>
    <xf numFmtId="3" fontId="0" fillId="7" borderId="0" xfId="0" applyNumberFormat="1" applyFill="1" applyAlignment="1">
      <alignment horizontal="center"/>
    </xf>
    <xf numFmtId="1" fontId="0" fillId="7" borderId="0" xfId="0" applyNumberFormat="1" applyFill="1" applyAlignment="1">
      <alignment horizontal="center"/>
    </xf>
    <xf numFmtId="170" fontId="0" fillId="7" borderId="0" xfId="15" applyNumberFormat="1" applyFont="1" applyFill="1" applyAlignment="1">
      <alignment horizontal="center"/>
    </xf>
    <xf numFmtId="2" fontId="0" fillId="7" borderId="0" xfId="0" applyNumberFormat="1" applyFill="1" applyAlignment="1">
      <alignment horizontal="center"/>
    </xf>
    <xf numFmtId="171" fontId="0" fillId="7" borderId="0" xfId="0" applyNumberFormat="1" applyFill="1" applyAlignment="1">
      <alignment horizontal="center"/>
    </xf>
    <xf numFmtId="168" fontId="0" fillId="7" borderId="0" xfId="0" applyNumberFormat="1" applyFill="1" applyAlignment="1">
      <alignment horizontal="center"/>
    </xf>
    <xf numFmtId="10" fontId="0" fillId="7" borderId="0" xfId="0" applyNumberFormat="1" applyFill="1" applyAlignment="1">
      <alignment horizontal="center"/>
    </xf>
    <xf numFmtId="173" fontId="0" fillId="7" borderId="0" xfId="0" applyNumberFormat="1" applyFill="1" applyAlignment="1">
      <alignment horizontal="center"/>
    </xf>
    <xf numFmtId="173" fontId="0" fillId="7" borderId="0" xfId="18" applyNumberFormat="1" applyFont="1" applyFill="1" applyAlignment="1">
      <alignment horizontal="center"/>
    </xf>
    <xf numFmtId="172" fontId="0" fillId="7" borderId="0" xfId="18" applyNumberFormat="1" applyFont="1" applyFill="1" applyAlignment="1">
      <alignment horizontal="center"/>
    </xf>
    <xf numFmtId="167" fontId="0" fillId="7" borderId="0" xfId="0" applyNumberFormat="1" applyFill="1" applyBorder="1" applyAlignment="1">
      <alignment horizontal="center"/>
    </xf>
    <xf numFmtId="10" fontId="6" fillId="7" borderId="2" xfId="15" applyNumberFormat="1" applyFont="1" applyFill="1" applyBorder="1" applyAlignment="1">
      <alignment horizontal="center"/>
    </xf>
    <xf numFmtId="10" fontId="0" fillId="7" borderId="0" xfId="0" applyNumberFormat="1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13" fillId="0" borderId="0" xfId="0" applyFont="1" applyFill="1" applyAlignment="1">
      <alignment horizontal="center" wrapText="1"/>
    </xf>
    <xf numFmtId="0" fontId="10" fillId="7" borderId="0" xfId="0" applyFont="1" applyFill="1" applyBorder="1" applyAlignment="1">
      <alignment horizontal="center" wrapText="1"/>
    </xf>
    <xf numFmtId="0" fontId="10" fillId="4" borderId="0" xfId="0" applyFont="1" applyFill="1" applyAlignment="1">
      <alignment wrapText="1"/>
    </xf>
    <xf numFmtId="0" fontId="10" fillId="7" borderId="0" xfId="0" applyFont="1" applyFill="1" applyAlignment="1">
      <alignment wrapText="1"/>
    </xf>
    <xf numFmtId="167" fontId="0" fillId="0" borderId="0" xfId="18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0" fillId="3" borderId="0" xfId="0" applyFont="1" applyFill="1" applyAlignment="1">
      <alignment wrapText="1"/>
    </xf>
    <xf numFmtId="0" fontId="9" fillId="3" borderId="0" xfId="0" applyFont="1" applyFill="1"/>
    <xf numFmtId="10" fontId="0" fillId="3" borderId="0" xfId="15" applyNumberFormat="1" applyFont="1" applyFill="1"/>
    <xf numFmtId="0" fontId="0" fillId="8" borderId="0" xfId="0" applyFill="1"/>
    <xf numFmtId="0" fontId="0" fillId="8" borderId="1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8" applyNumberFormat="1" applyFont="1" applyFill="1" applyAlignment="1">
      <alignment horizontal="center"/>
    </xf>
    <xf numFmtId="167" fontId="6" fillId="8" borderId="0" xfId="18" applyNumberFormat="1" applyFont="1" applyFill="1"/>
    <xf numFmtId="167" fontId="0" fillId="8" borderId="0" xfId="18" applyNumberFormat="1" applyFont="1" applyFill="1"/>
    <xf numFmtId="10" fontId="0" fillId="8" borderId="0" xfId="0" applyNumberFormat="1" applyFill="1"/>
    <xf numFmtId="10" fontId="0" fillId="8" borderId="0" xfId="15" applyNumberFormat="1" applyFont="1" applyFill="1"/>
    <xf numFmtId="165" fontId="0" fillId="8" borderId="0" xfId="18" applyNumberFormat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1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65" fontId="0" fillId="8" borderId="0" xfId="18" applyFon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8" applyNumberFormat="1" applyFont="1" applyFill="1"/>
    <xf numFmtId="172" fontId="0" fillId="8" borderId="0" xfId="18" applyNumberFormat="1" applyFont="1" applyFill="1"/>
    <xf numFmtId="0" fontId="0" fillId="8" borderId="0" xfId="0" applyFill="1" applyBorder="1" applyAlignment="1">
      <alignment horizontal="center"/>
    </xf>
    <xf numFmtId="167" fontId="0" fillId="8" borderId="0" xfId="0" applyNumberFormat="1" applyFill="1" applyBorder="1" applyAlignment="1">
      <alignment horizontal="center"/>
    </xf>
    <xf numFmtId="10" fontId="0" fillId="8" borderId="0" xfId="15" applyNumberFormat="1" applyFont="1" applyFill="1" applyAlignment="1">
      <alignment horizontal="center"/>
    </xf>
    <xf numFmtId="10" fontId="6" fillId="8" borderId="2" xfId="15" applyNumberFormat="1" applyFont="1" applyFill="1" applyBorder="1" applyAlignment="1">
      <alignment horizontal="center"/>
    </xf>
    <xf numFmtId="10" fontId="0" fillId="8" borderId="0" xfId="15" applyNumberFormat="1" applyFont="1" applyFill="1" applyAlignment="1">
      <alignment/>
    </xf>
    <xf numFmtId="10" fontId="0" fillId="8" borderId="0" xfId="0" applyNumberFormat="1" applyFill="1" applyAlignment="1">
      <alignment/>
    </xf>
    <xf numFmtId="10" fontId="0" fillId="8" borderId="2" xfId="0" applyNumberFormat="1" applyFont="1" applyFill="1" applyBorder="1" applyAlignment="1">
      <alignment horizontal="center"/>
    </xf>
    <xf numFmtId="10" fontId="0" fillId="2" borderId="9" xfId="15" applyNumberFormat="1" applyFont="1" applyFill="1" applyBorder="1"/>
    <xf numFmtId="0" fontId="6" fillId="0" borderId="0" xfId="0" applyFont="1" applyFill="1" applyBorder="1" applyAlignment="1">
      <alignment/>
    </xf>
    <xf numFmtId="174" fontId="13" fillId="0" borderId="0" xfId="15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16" fillId="0" borderId="0" xfId="21" applyNumberFormat="1" applyAlignment="1">
      <alignment horizontal="center" vertical="center"/>
      <protection/>
    </xf>
    <xf numFmtId="175" fontId="17" fillId="0" borderId="0" xfId="21" applyNumberFormat="1" applyFont="1" applyAlignment="1">
      <alignment horizontal="center" vertical="center"/>
      <protection/>
    </xf>
    <xf numFmtId="0" fontId="16" fillId="0" borderId="18" xfId="21" applyNumberFormat="1" applyBorder="1" applyAlignment="1">
      <alignment horizontal="center" vertical="center"/>
      <protection/>
    </xf>
    <xf numFmtId="175" fontId="18" fillId="0" borderId="18" xfId="21" applyNumberFormat="1" applyFont="1" applyBorder="1" applyAlignment="1">
      <alignment vertical="center"/>
      <protection/>
    </xf>
    <xf numFmtId="175" fontId="18" fillId="9" borderId="18" xfId="21" applyNumberFormat="1" applyFont="1" applyFill="1" applyBorder="1" applyAlignment="1">
      <alignment vertical="center"/>
      <protection/>
    </xf>
    <xf numFmtId="0" fontId="19" fillId="0" borderId="0" xfId="21" applyNumberFormat="1" applyFont="1" applyAlignment="1">
      <alignment horizontal="center" vertical="center"/>
      <protection/>
    </xf>
    <xf numFmtId="175" fontId="20" fillId="0" borderId="0" xfId="21" applyNumberFormat="1" applyFont="1" applyAlignment="1">
      <alignment horizontal="center" vertical="center"/>
      <protection/>
    </xf>
    <xf numFmtId="176" fontId="0" fillId="0" borderId="0" xfId="0" applyNumberFormat="1"/>
    <xf numFmtId="176" fontId="6" fillId="0" borderId="0" xfId="0" applyNumberFormat="1" applyFont="1"/>
    <xf numFmtId="0" fontId="6" fillId="0" borderId="5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0" fillId="0" borderId="19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3" fillId="0" borderId="0" xfId="0" applyFont="1" applyAlignment="1">
      <alignment horizontal="center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30" xfId="20"/>
    <cellStyle name="Normal_OEB Trial Balance - Regulatory-July24-07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tyles" Target="style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6" Type="http://schemas.openxmlformats.org/officeDocument/2006/relationships/sharedStrings" Target="sharedStrings.xml" /><Relationship Id="rId3" Type="http://schemas.openxmlformats.org/officeDocument/2006/relationships/worksheet" Target="worksheets/sheet2.xml" /><Relationship Id="rId7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B2:AA173"/>
  <sheetViews>
    <sheetView tabSelected="1" zoomScale="90" zoomScaleNormal="90" workbookViewId="0" topLeftCell="C1">
      <pane ySplit="6" topLeftCell="A7" activePane="bottomLeft" state="frozen"/>
      <selection pane="topLeft" activeCell="C1" sqref="C1"/>
      <selection pane="bottomLeft" activeCell="L26" sqref="L26"/>
    </sheetView>
  </sheetViews>
  <sheetFormatPr defaultRowHeight="13.5"/>
  <cols>
    <col min="2" max="2" width="11.7142857142857" style="2" customWidth="1"/>
    <col min="3" max="3" width="3.28571428571429" customWidth="1"/>
    <col min="4" max="4" width="7.28571428571429" customWidth="1"/>
    <col min="6" max="6" width="48.2857142857143" customWidth="1"/>
    <col min="7" max="12" width="14.1428571428571" customWidth="1"/>
    <col min="13" max="13" width="14.1428571428571" style="89" customWidth="1"/>
    <col min="14" max="14" width="32" style="11" customWidth="1"/>
    <col min="15" max="15" width="69.4285714285714" style="89" customWidth="1"/>
    <col min="19" max="19" width="62" bestFit="1" customWidth="1"/>
  </cols>
  <sheetData>
    <row r="2" spans="3:14" ht="23">
      <c r="C2" s="277" t="s">
        <v>186</v>
      </c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</row>
    <row r="3" spans="3:14" ht="19.5" customHeight="1">
      <c r="C3" s="278" t="str">
        <f>IF(F5="Click to Choose an LDC","",F5)</f>
        <v>Oshawa PUC Networks Inc.</v>
      </c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2:14" s="89" customFormat="1" ht="19.5" customHeight="1" thickBot="1">
      <c r="B4" s="2"/>
      <c r="C4" s="115"/>
      <c r="D4" s="115"/>
      <c r="E4" s="264"/>
      <c r="F4" s="264"/>
      <c r="G4" s="115"/>
      <c r="H4" s="115"/>
      <c r="I4" s="115"/>
      <c r="J4" s="115"/>
      <c r="K4" s="115"/>
      <c r="L4" s="115"/>
      <c r="M4" s="115"/>
      <c r="N4" s="130"/>
    </row>
    <row r="5" spans="2:15" ht="25.5" customHeight="1" thickBot="1">
      <c r="B5" s="125" t="s">
        <v>184</v>
      </c>
      <c r="E5" s="75"/>
      <c r="F5" s="126" t="s">
        <v>199</v>
      </c>
      <c r="G5" s="13" t="s">
        <v>171</v>
      </c>
      <c r="H5" s="13" t="s">
        <v>172</v>
      </c>
      <c r="I5" s="13" t="s">
        <v>170</v>
      </c>
      <c r="J5" s="279" t="s">
        <v>173</v>
      </c>
      <c r="K5" s="279"/>
      <c r="L5" s="279"/>
      <c r="M5" s="279"/>
      <c r="N5" s="75"/>
      <c r="O5" s="91"/>
    </row>
    <row r="6" spans="2:15" ht="36" customHeight="1">
      <c r="B6" s="5" t="s">
        <v>176</v>
      </c>
      <c r="C6" s="90"/>
      <c r="D6" s="25"/>
      <c r="E6" s="25"/>
      <c r="F6" s="25"/>
      <c r="G6" s="37">
        <v>2019</v>
      </c>
      <c r="H6" s="13">
        <f>G6+1</f>
        <v>2020</v>
      </c>
      <c r="I6" s="202">
        <f t="shared" si="0" ref="I6:M6">H6+1</f>
        <v>2021</v>
      </c>
      <c r="J6" s="202">
        <f>I6+1</f>
        <v>2022</v>
      </c>
      <c r="K6" s="202">
        <f>J6+1</f>
        <v>2023</v>
      </c>
      <c r="L6" s="202">
        <f>K6+1</f>
        <v>2024</v>
      </c>
      <c r="M6" s="202">
        <f>L6+1</f>
        <v>2025</v>
      </c>
      <c r="N6" s="131" t="s">
        <v>201</v>
      </c>
      <c r="O6" s="9"/>
    </row>
    <row r="7" spans="3:14" ht="13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3:14" ht="13">
      <c r="C8" s="73" t="s">
        <v>85</v>
      </c>
      <c r="D8" s="73"/>
      <c r="E8" s="13"/>
      <c r="F8" s="25"/>
      <c r="H8" s="280"/>
      <c r="I8" s="280"/>
      <c r="J8" s="280"/>
      <c r="K8" s="280"/>
      <c r="L8" s="280"/>
      <c r="M8" s="280"/>
      <c r="N8" s="75"/>
    </row>
    <row r="9" spans="2:15" ht="13">
      <c r="B9" s="2">
        <v>1</v>
      </c>
      <c r="C9" s="74"/>
      <c r="D9" s="75" t="s">
        <v>86</v>
      </c>
      <c r="F9" s="25"/>
      <c r="G9" s="83">
        <f>'Benchmarking Calculations'!F92</f>
        <v>29297557.620000001</v>
      </c>
      <c r="H9" s="118">
        <v>18551000</v>
      </c>
      <c r="I9" s="118">
        <v>16492500</v>
      </c>
      <c r="J9" s="118">
        <v>15977000</v>
      </c>
      <c r="K9" s="118">
        <v>15636000</v>
      </c>
      <c r="L9" s="118">
        <v>15412000</v>
      </c>
      <c r="M9" s="118">
        <v>15298000</v>
      </c>
      <c r="N9" s="75"/>
      <c r="O9" s="85"/>
    </row>
    <row r="10" spans="2:15" ht="13">
      <c r="B10" s="2">
        <v>2</v>
      </c>
      <c r="C10" s="74"/>
      <c r="D10" s="75" t="s">
        <v>87</v>
      </c>
      <c r="F10" s="25"/>
      <c r="G10" s="83">
        <f>'Benchmarking Calculations'!F93</f>
        <v>0</v>
      </c>
      <c r="H10" s="118">
        <f>G10</f>
        <v>0</v>
      </c>
      <c r="I10" s="118">
        <f t="shared" si="1" ref="I10:M10">H10</f>
        <v>0</v>
      </c>
      <c r="J10" s="118">
        <f>I10</f>
        <v>0</v>
      </c>
      <c r="K10" s="118">
        <f>J10</f>
        <v>0</v>
      </c>
      <c r="L10" s="118">
        <f>K10</f>
        <v>0</v>
      </c>
      <c r="M10" s="118">
        <f>L10</f>
        <v>0</v>
      </c>
      <c r="N10" s="75"/>
      <c r="O10" s="85"/>
    </row>
    <row r="11" spans="3:15" ht="13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3:15" ht="13">
      <c r="C12" s="73" t="s">
        <v>88</v>
      </c>
      <c r="D12" s="73"/>
      <c r="E12" s="13"/>
      <c r="F12" s="25"/>
      <c r="G12" s="83"/>
      <c r="H12" s="163"/>
      <c r="I12" s="163"/>
      <c r="J12" s="163"/>
      <c r="K12" s="163"/>
      <c r="L12" s="163"/>
      <c r="M12" s="163"/>
      <c r="N12" s="75"/>
      <c r="O12" s="85"/>
    </row>
    <row r="13" spans="2:15" ht="13">
      <c r="B13" s="2">
        <v>3</v>
      </c>
      <c r="C13" s="74"/>
      <c r="D13" s="36" t="s">
        <v>89</v>
      </c>
      <c r="F13" s="25"/>
      <c r="G13" s="83">
        <f>'Benchmarking Calculations'!F96</f>
        <v>59183</v>
      </c>
      <c r="H13" s="118">
        <v>60196.368183042832</v>
      </c>
      <c r="I13" s="118">
        <v>61007.896710766232</v>
      </c>
      <c r="J13" s="118">
        <v>61978.75</v>
      </c>
      <c r="K13" s="118">
        <v>62965.75</v>
      </c>
      <c r="L13" s="118">
        <v>63967.75</v>
      </c>
      <c r="M13" s="118">
        <v>64986.75</v>
      </c>
      <c r="N13" s="75" t="s">
        <v>202</v>
      </c>
      <c r="O13" s="85"/>
    </row>
    <row r="14" spans="2:15" ht="13">
      <c r="B14" s="2">
        <v>4</v>
      </c>
      <c r="C14" s="74"/>
      <c r="D14" s="36" t="s">
        <v>90</v>
      </c>
      <c r="F14" s="25"/>
      <c r="G14" s="83">
        <f>'Benchmarking Calculations'!F97</f>
        <v>1044351259</v>
      </c>
      <c r="H14" s="118">
        <v>1078000816.8114338</v>
      </c>
      <c r="I14" s="118">
        <v>1075667737.2425113</v>
      </c>
      <c r="J14" s="118">
        <v>1068775790.2028364</v>
      </c>
      <c r="K14" s="118">
        <v>1068774836.5596575</v>
      </c>
      <c r="L14" s="118">
        <v>1072509116.7463137</v>
      </c>
      <c r="M14" s="118">
        <v>1075338157.6556749</v>
      </c>
      <c r="N14" s="75"/>
      <c r="O14" s="85"/>
    </row>
    <row r="15" spans="2:15" ht="13">
      <c r="B15" s="2">
        <v>5</v>
      </c>
      <c r="C15" s="25"/>
      <c r="D15" s="36" t="s">
        <v>91</v>
      </c>
      <c r="F15" s="25"/>
      <c r="G15" s="83">
        <f>'Benchmarking Calculations'!F98</f>
        <v>213296</v>
      </c>
      <c r="H15" s="118">
        <f t="shared" si="2" ref="H15:M16">G15</f>
        <v>213296</v>
      </c>
      <c r="I15" s="118">
        <f>H15</f>
        <v>213296</v>
      </c>
      <c r="J15" s="118">
        <f>I15</f>
        <v>213296</v>
      </c>
      <c r="K15" s="118">
        <f>J15</f>
        <v>213296</v>
      </c>
      <c r="L15" s="118">
        <f>K15</f>
        <v>213296</v>
      </c>
      <c r="M15" s="118">
        <f>L15</f>
        <v>213296</v>
      </c>
      <c r="N15" s="75"/>
      <c r="O15" s="85"/>
    </row>
    <row r="16" spans="2:15" ht="13">
      <c r="B16" s="2">
        <v>6</v>
      </c>
      <c r="C16" s="25"/>
      <c r="D16" s="75" t="s">
        <v>187</v>
      </c>
      <c r="F16" s="25"/>
      <c r="G16" s="83">
        <f>'Benchmarking Calculations'!F99</f>
        <v>1010</v>
      </c>
      <c r="H16" s="118">
        <f>G16</f>
        <v>1010</v>
      </c>
      <c r="I16" s="118">
        <f>H16</f>
        <v>1010</v>
      </c>
      <c r="J16" s="118">
        <f>I16</f>
        <v>1010</v>
      </c>
      <c r="K16" s="118">
        <f>J16</f>
        <v>1010</v>
      </c>
      <c r="L16" s="118">
        <f>K16</f>
        <v>1010</v>
      </c>
      <c r="M16" s="118">
        <f>L16</f>
        <v>1010</v>
      </c>
      <c r="N16" s="75"/>
      <c r="O16" s="85"/>
    </row>
    <row r="17" spans="2:15" ht="13">
      <c r="B17" s="2">
        <v>7</v>
      </c>
      <c r="C17" s="37"/>
      <c r="D17" s="74" t="s">
        <v>121</v>
      </c>
      <c r="F17" s="75"/>
      <c r="G17" s="87">
        <f>'Benchmarking Calculations'!F145</f>
        <v>0.13412156982983289</v>
      </c>
      <c r="H17" s="262">
        <v>0.11002968804734215</v>
      </c>
      <c r="I17" s="262">
        <v>0.11134875533913421</v>
      </c>
      <c r="J17" s="262">
        <f t="shared" si="3" ref="J17:M17">I17</f>
        <v>0.11134875533913421</v>
      </c>
      <c r="K17" s="262">
        <f>J17</f>
        <v>0.11134875533913421</v>
      </c>
      <c r="L17" s="262">
        <f>K17</f>
        <v>0.11134875533913421</v>
      </c>
      <c r="M17" s="262">
        <f>L17</f>
        <v>0.11134875533913421</v>
      </c>
      <c r="N17" s="75"/>
      <c r="O17" s="85"/>
    </row>
    <row r="18" spans="3:13" ht="13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3:13" ht="13">
      <c r="C19" s="73" t="s">
        <v>161</v>
      </c>
      <c r="E19" s="74"/>
      <c r="F19" s="75"/>
      <c r="G19" s="50"/>
      <c r="H19" s="280"/>
      <c r="I19" s="280"/>
      <c r="J19" s="280"/>
      <c r="K19" s="280"/>
      <c r="L19" s="280"/>
      <c r="M19" s="280"/>
    </row>
    <row r="20" spans="2:14" ht="13">
      <c r="B20" s="2">
        <v>8</v>
      </c>
      <c r="C20" s="37"/>
      <c r="D20" s="74" t="s">
        <v>162</v>
      </c>
      <c r="F20" s="75"/>
      <c r="G20" s="87">
        <v>0.027168734507591063</v>
      </c>
      <c r="H20" s="117">
        <v>0.040029697981266432</v>
      </c>
      <c r="I20" s="117">
        <v>0.0045727295628790188</v>
      </c>
      <c r="J20" s="117">
        <v>0.020111571057336519</v>
      </c>
      <c r="K20" s="117">
        <v>0.02096643773637763</v>
      </c>
      <c r="L20" s="117">
        <v>0.020967126966783045</v>
      </c>
      <c r="M20" s="117">
        <v>0.02096780206497395</v>
      </c>
      <c r="N20" s="75"/>
    </row>
    <row r="21" spans="2:14" ht="14.25" customHeight="1">
      <c r="B21" s="2">
        <v>9</v>
      </c>
      <c r="C21" s="37"/>
      <c r="D21" s="74" t="s">
        <v>163</v>
      </c>
      <c r="F21" s="75"/>
      <c r="G21" s="87">
        <v>0.019544596072970565</v>
      </c>
      <c r="H21" s="117">
        <v>0.02</v>
      </c>
      <c r="I21" s="117">
        <f t="shared" si="4" ref="I21:M22">H21</f>
        <v>0.02</v>
      </c>
      <c r="J21" s="117">
        <f>I21</f>
        <v>0.02</v>
      </c>
      <c r="K21" s="117">
        <f>J21</f>
        <v>0.02</v>
      </c>
      <c r="L21" s="117">
        <f>K21</f>
        <v>0.02</v>
      </c>
      <c r="M21" s="117">
        <f>L21</f>
        <v>0.02</v>
      </c>
      <c r="N21" s="75"/>
    </row>
    <row r="22" spans="2:14" ht="13">
      <c r="B22" s="2">
        <v>10</v>
      </c>
      <c r="C22" s="37"/>
      <c r="D22" s="25" t="s">
        <v>169</v>
      </c>
      <c r="F22" s="75"/>
      <c r="G22" s="87">
        <f>'Benchmarking Calculations'!F110</f>
        <v>0.060176</v>
      </c>
      <c r="H22" s="117">
        <v>0.053199999999999997</v>
      </c>
      <c r="I22" s="117">
        <v>0.050000000000000003</v>
      </c>
      <c r="J22" s="117">
        <f>I22</f>
        <v>0.050000000000000003</v>
      </c>
      <c r="K22" s="117">
        <f>J22</f>
        <v>0.050000000000000003</v>
      </c>
      <c r="L22" s="117">
        <f>K22</f>
        <v>0.050000000000000003</v>
      </c>
      <c r="M22" s="117">
        <f>L22</f>
        <v>0.050000000000000003</v>
      </c>
      <c r="N22" s="75"/>
    </row>
    <row r="23" spans="2:14" s="89" customFormat="1" ht="13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75"/>
    </row>
    <row r="24" spans="2:14" s="89" customFormat="1" ht="13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75"/>
    </row>
    <row r="25" spans="2:14" s="89" customFormat="1" ht="13">
      <c r="B25" s="2"/>
      <c r="C25" s="76" t="s">
        <v>188</v>
      </c>
      <c r="D25" s="25"/>
      <c r="F25" s="75"/>
      <c r="G25" s="87"/>
      <c r="H25" s="92"/>
      <c r="I25" s="92"/>
      <c r="J25" s="92"/>
      <c r="K25" s="92"/>
      <c r="L25" s="92"/>
      <c r="M25" s="92"/>
      <c r="N25" s="75"/>
    </row>
    <row r="26" spans="3:14" ht="13.5" thickBot="1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5:14" ht="13.5" thickBot="1">
      <c r="E27" s="124" t="s">
        <v>166</v>
      </c>
      <c r="F27" s="263" t="s">
        <v>193</v>
      </c>
      <c r="G27" s="50">
        <f>G35-G36+G37</f>
        <v>12607249.100000002</v>
      </c>
      <c r="H27" s="50">
        <f t="shared" si="5" ref="H27:M27">H35-H36+H37</f>
        <v>0</v>
      </c>
      <c r="I27" s="50">
        <f>I35-I36+I37</f>
        <v>0</v>
      </c>
      <c r="J27" s="50">
        <f>J35-J36+J37</f>
        <v>0</v>
      </c>
      <c r="K27" s="50">
        <f>K35-K36+K37</f>
        <v>0</v>
      </c>
      <c r="L27" s="50">
        <f>L35-L36+L37</f>
        <v>0</v>
      </c>
      <c r="M27" s="50">
        <f>M35-M36+M37</f>
        <v>0</v>
      </c>
      <c r="N27" s="58" t="s">
        <v>29</v>
      </c>
    </row>
    <row r="28" spans="2:14" ht="13.5" thickBot="1">
      <c r="B28" s="11" t="s">
        <v>185</v>
      </c>
      <c r="E28" s="13"/>
      <c r="F28" s="263"/>
      <c r="G28" s="50"/>
      <c r="H28" s="50"/>
      <c r="I28" s="50"/>
      <c r="J28" s="50"/>
      <c r="K28" s="50"/>
      <c r="L28" s="50"/>
      <c r="M28" s="50"/>
      <c r="N28" s="58"/>
    </row>
    <row r="29" spans="5:14" ht="13.5" thickBot="1">
      <c r="E29" s="124" t="s">
        <v>165</v>
      </c>
      <c r="F29" s="263" t="s">
        <v>197</v>
      </c>
      <c r="G29" s="50">
        <f>G115-G121+G122</f>
        <v>12607249.100000002</v>
      </c>
      <c r="H29" s="50">
        <f>H115-H121+H122</f>
        <v>13274929.374058003</v>
      </c>
      <c r="I29" s="50">
        <f t="shared" si="6" ref="I29:M29">I115-I121+I122</f>
        <v>13526150.554729721</v>
      </c>
      <c r="J29" s="50">
        <f>J115-J121+J122</f>
        <v>13797014.808630083</v>
      </c>
      <c r="K29" s="50">
        <f>K115-K121+K122</f>
        <v>14077474.989584342</v>
      </c>
      <c r="L29" s="50">
        <f>L115-L121+L122</f>
        <v>14363716.066685425</v>
      </c>
      <c r="M29" s="50">
        <f>M115-M121+M122</f>
        <v>14661133.272738565</v>
      </c>
      <c r="N29" s="58" t="s">
        <v>29</v>
      </c>
    </row>
    <row r="30" spans="3:14" ht="13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4" ht="13">
      <c r="B31" s="2">
        <v>11</v>
      </c>
      <c r="D31" s="74"/>
      <c r="E31" s="69" t="s">
        <v>167</v>
      </c>
      <c r="F31" s="75"/>
      <c r="G31" s="50">
        <f t="shared" si="7" ref="G31:M31">IF($E$27="Y",G27,IF($E$29="Y",G29,"Error: Please enter Y for one method"))</f>
        <v>12607249.100000002</v>
      </c>
      <c r="H31" s="50">
        <f>IF($E$27="Y",H27,IF($E$29="Y",H29,"Error: Please enter Y for one method"))</f>
        <v>13274929.374058003</v>
      </c>
      <c r="I31" s="50">
        <f>IF($E$27="Y",I27,IF($E$29="Y",I29,"Error: Please enter Y for one method"))</f>
        <v>13526150.554729721</v>
      </c>
      <c r="J31" s="50">
        <f>IF($E$27="Y",J27,IF($E$29="Y",J29,"Error: Please enter Y for one method"))</f>
        <v>13797014.808630083</v>
      </c>
      <c r="K31" s="50">
        <f>IF($E$27="Y",K27,IF($E$29="Y",K29,"Error: Please enter Y for one method"))</f>
        <v>14077474.989584342</v>
      </c>
      <c r="L31" s="50">
        <f>IF($E$27="Y",L27,IF($E$29="Y",L29,"Error: Please enter Y for one method"))</f>
        <v>14363716.066685425</v>
      </c>
      <c r="M31" s="50">
        <f>IF($E$27="Y",M27,IF($E$29="Y",M29,"Error: Please enter Y for one method"))</f>
        <v>14661133.272738565</v>
      </c>
      <c r="N31" s="58" t="s">
        <v>29</v>
      </c>
    </row>
    <row r="32" spans="3:14" ht="13.5" thickBot="1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14" s="89" customFormat="1" ht="13">
      <c r="B33" s="2"/>
      <c r="C33" s="13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3"/>
    </row>
    <row r="34" spans="3:14" ht="13">
      <c r="C34" s="134"/>
      <c r="D34" s="76" t="s">
        <v>175</v>
      </c>
      <c r="E34" s="25"/>
      <c r="F34" s="25"/>
      <c r="G34" s="83"/>
      <c r="H34" s="276" t="s">
        <v>179</v>
      </c>
      <c r="I34" s="276"/>
      <c r="J34" s="276"/>
      <c r="K34" s="276"/>
      <c r="L34" s="276"/>
      <c r="M34" s="276"/>
      <c r="N34" s="135"/>
    </row>
    <row r="35" spans="3:14" ht="13">
      <c r="C35" s="134"/>
      <c r="D35" s="150" t="s">
        <v>190</v>
      </c>
      <c r="E35" s="25" t="s">
        <v>198</v>
      </c>
      <c r="F35" s="25"/>
      <c r="G35" s="82">
        <f>G115</f>
        <v>12607249.100000002</v>
      </c>
      <c r="H35" s="118"/>
      <c r="I35" s="118"/>
      <c r="J35" s="118"/>
      <c r="K35" s="118"/>
      <c r="L35" s="118"/>
      <c r="M35" s="118"/>
      <c r="N35" s="135" t="s">
        <v>168</v>
      </c>
    </row>
    <row r="36" spans="3:14" ht="13">
      <c r="C36" s="134"/>
      <c r="D36" s="150" t="s">
        <v>191</v>
      </c>
      <c r="E36" s="25" t="s">
        <v>189</v>
      </c>
      <c r="F36" s="25"/>
      <c r="G36" s="50">
        <f>G121</f>
        <v>0</v>
      </c>
      <c r="H36" s="118"/>
      <c r="I36" s="118"/>
      <c r="J36" s="114"/>
      <c r="K36" s="114"/>
      <c r="L36" s="114"/>
      <c r="M36" s="114"/>
      <c r="N36" s="135" t="s">
        <v>168</v>
      </c>
    </row>
    <row r="37" spans="3:14" ht="13">
      <c r="C37" s="134"/>
      <c r="D37" s="151" t="s">
        <v>192</v>
      </c>
      <c r="E37" s="25" t="s">
        <v>83</v>
      </c>
      <c r="F37" s="25"/>
      <c r="G37" s="50">
        <f>G122</f>
        <v>0</v>
      </c>
      <c r="H37" s="118"/>
      <c r="I37" s="118"/>
      <c r="J37" s="114"/>
      <c r="K37" s="114"/>
      <c r="L37" s="114"/>
      <c r="M37" s="114"/>
      <c r="N37" s="135" t="s">
        <v>168</v>
      </c>
    </row>
    <row r="38" spans="2:14" s="89" customFormat="1" ht="13.5" thickBot="1">
      <c r="B38" s="2"/>
      <c r="C38" s="136"/>
      <c r="D38" s="72"/>
      <c r="E38" s="72"/>
      <c r="F38" s="72"/>
      <c r="G38" s="137"/>
      <c r="H38" s="146"/>
      <c r="I38" s="146"/>
      <c r="J38" s="146"/>
      <c r="K38" s="146"/>
      <c r="L38" s="146"/>
      <c r="M38" s="146"/>
      <c r="N38" s="138"/>
    </row>
    <row r="39" spans="2:25" s="89" customFormat="1" ht="13.5" thickBot="1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  <c r="T39" s="265">
        <v>2020</v>
      </c>
      <c r="U39" s="265">
        <v>2021</v>
      </c>
      <c r="V39" s="265">
        <v>2022</v>
      </c>
      <c r="W39" s="265">
        <v>2023</v>
      </c>
      <c r="X39" s="265">
        <v>2024</v>
      </c>
      <c r="Y39" s="265">
        <v>2025</v>
      </c>
    </row>
    <row r="40" spans="3:15" ht="13">
      <c r="C40" s="132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3"/>
      <c r="O40" s="275" t="str">
        <f>IF(F5="Alectra Utilities Corporation","The 2019 historical values for OM&amp;A expenses by account that include Guelph were not available for the full calendar year.  Correct values must be provided if Method 2 is to be used.","")</f>
        <v/>
      </c>
    </row>
    <row r="41" spans="3:19" ht="13">
      <c r="C41" s="134"/>
      <c r="D41" s="76" t="s">
        <v>174</v>
      </c>
      <c r="E41" s="25"/>
      <c r="F41" s="25"/>
      <c r="G41" s="25"/>
      <c r="H41" s="25"/>
      <c r="I41" s="25"/>
      <c r="J41" s="25"/>
      <c r="K41" s="25"/>
      <c r="L41" s="25"/>
      <c r="M41" s="25"/>
      <c r="N41" s="135"/>
      <c r="O41" s="275"/>
      <c r="R41" s="266"/>
      <c r="S41" s="267" t="s">
        <v>203</v>
      </c>
    </row>
    <row r="42" spans="3:25" ht="13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5"/>
      <c r="O42" s="275"/>
      <c r="R42" s="268">
        <v>5005</v>
      </c>
      <c r="S42" s="269" t="s">
        <v>8</v>
      </c>
      <c r="T42" s="273">
        <v>780947.62057600019</v>
      </c>
      <c r="U42" s="273">
        <v>758715.31338736007</v>
      </c>
      <c r="V42" s="273">
        <v>773932.62427290715</v>
      </c>
      <c r="W42" s="273">
        <v>790197.17939271813</v>
      </c>
      <c r="X42" s="273">
        <v>806803.52957024693</v>
      </c>
      <c r="Y42" s="273">
        <v>823492.57862638403</v>
      </c>
    </row>
    <row r="43" spans="3:25" ht="13">
      <c r="C43" s="139"/>
      <c r="D43" s="76" t="s">
        <v>160</v>
      </c>
      <c r="E43" s="76"/>
      <c r="F43" s="13"/>
      <c r="G43" s="36"/>
      <c r="H43" s="25"/>
      <c r="I43" s="25"/>
      <c r="J43" s="25"/>
      <c r="K43" s="25"/>
      <c r="L43" s="25"/>
      <c r="M43" s="25"/>
      <c r="N43" s="135"/>
      <c r="O43" s="275"/>
      <c r="R43" s="268">
        <v>5010</v>
      </c>
      <c r="S43" s="269" t="s">
        <v>9</v>
      </c>
      <c r="T43" s="273">
        <v>0</v>
      </c>
      <c r="U43" s="273">
        <v>0</v>
      </c>
      <c r="V43" s="273">
        <v>0</v>
      </c>
      <c r="W43" s="273">
        <v>0</v>
      </c>
      <c r="X43" s="273">
        <v>0</v>
      </c>
      <c r="Y43" s="273">
        <v>0</v>
      </c>
    </row>
    <row r="44" spans="3:27" ht="13">
      <c r="C44" s="139"/>
      <c r="D44" s="25"/>
      <c r="E44" s="75">
        <v>5005</v>
      </c>
      <c r="F44" s="131" t="s">
        <v>8</v>
      </c>
      <c r="G44" s="57">
        <f>'Benchmarking Calculations'!F10</f>
        <v>813329</v>
      </c>
      <c r="H44" s="123">
        <f>IFERROR(VLOOKUP($E44,$R$42:$Y$173,3,0),0)</f>
        <v>780947.62057600019</v>
      </c>
      <c r="I44" s="123">
        <f>IFERROR(VLOOKUP($E44,$R$42:$Y$173,4,0),0)</f>
        <v>758715.31338736007</v>
      </c>
      <c r="J44" s="123">
        <f>IFERROR(VLOOKUP($E44,$R$42:$Y$173,5,0),0)</f>
        <v>773932.62427290715</v>
      </c>
      <c r="K44" s="123">
        <f>IFERROR(VLOOKUP($E44,$R$42:$Y$173,6,0),0)</f>
        <v>790197.17939271813</v>
      </c>
      <c r="L44" s="123">
        <f>IFERROR(VLOOKUP($E44,$R$42:$Y$173,7,0),0)</f>
        <v>806803.52957024693</v>
      </c>
      <c r="M44" s="123">
        <f>IFERROR(VLOOKUP($E44,$R$42:$Y$173,8,0),0)</f>
        <v>823492.57862638403</v>
      </c>
      <c r="N44" s="135"/>
      <c r="P44" s="10"/>
      <c r="Q44" s="10"/>
      <c r="R44" s="268">
        <v>5012</v>
      </c>
      <c r="S44" s="269" t="s">
        <v>204</v>
      </c>
      <c r="T44" s="274">
        <v>50110</v>
      </c>
      <c r="U44" s="274">
        <v>51012.199999999997</v>
      </c>
      <c r="V44" s="274">
        <v>51930.756200000003</v>
      </c>
      <c r="W44" s="274">
        <v>52865.853480199999</v>
      </c>
      <c r="X44" s="274">
        <v>53817.789728484204</v>
      </c>
      <c r="Y44" s="274">
        <v>54786.868197835975</v>
      </c>
      <c r="Z44" s="10"/>
      <c r="AA44" s="10"/>
    </row>
    <row r="45" spans="3:25" ht="13">
      <c r="C45" s="139"/>
      <c r="D45" s="25"/>
      <c r="E45" s="75">
        <v>5010</v>
      </c>
      <c r="F45" s="131" t="s">
        <v>9</v>
      </c>
      <c r="G45" s="57">
        <f>'Benchmarking Calculations'!F11</f>
        <v>0</v>
      </c>
      <c r="H45" s="123">
        <f t="shared" si="8" ref="H45:H63">IFERROR(VLOOKUP($E45,$R$42:$Y$173,3,0),0)</f>
        <v>0</v>
      </c>
      <c r="I45" s="123">
        <f t="shared" si="9" ref="I45:I63">IFERROR(VLOOKUP($E45,$R$42:$Y$173,4,0),0)</f>
        <v>0</v>
      </c>
      <c r="J45" s="123">
        <f t="shared" si="10" ref="J45:J63">IFERROR(VLOOKUP($E45,$R$42:$Y$173,5,0),0)</f>
        <v>0</v>
      </c>
      <c r="K45" s="123">
        <f t="shared" si="11" ref="K45:K63">IFERROR(VLOOKUP($E45,$R$42:$Y$173,6,0),0)</f>
        <v>0</v>
      </c>
      <c r="L45" s="123">
        <f t="shared" si="12" ref="L45:L63">IFERROR(VLOOKUP($E45,$R$42:$Y$173,7,0),0)</f>
        <v>0</v>
      </c>
      <c r="M45" s="123">
        <f t="shared" si="13" ref="M45:M63">IFERROR(VLOOKUP($E45,$R$42:$Y$173,8,0),0)</f>
        <v>0</v>
      </c>
      <c r="N45" s="135"/>
      <c r="R45" s="268">
        <v>5014</v>
      </c>
      <c r="S45" s="269" t="s">
        <v>205</v>
      </c>
      <c r="T45" s="273">
        <v>0</v>
      </c>
      <c r="U45" s="273">
        <v>0</v>
      </c>
      <c r="V45" s="273">
        <v>0</v>
      </c>
      <c r="W45" s="273">
        <v>0</v>
      </c>
      <c r="X45" s="273">
        <v>0</v>
      </c>
      <c r="Y45" s="273">
        <v>0</v>
      </c>
    </row>
    <row r="46" spans="3:25" ht="13">
      <c r="C46" s="139"/>
      <c r="D46" s="25"/>
      <c r="E46" s="75">
        <v>5012</v>
      </c>
      <c r="F46" s="131" t="s">
        <v>10</v>
      </c>
      <c r="G46" s="57">
        <f>'Benchmarking Calculations'!F12</f>
        <v>46046</v>
      </c>
      <c r="H46" s="123">
        <f>IFERROR(VLOOKUP($E46,$R$42:$Y$173,3,0),0)</f>
        <v>50110</v>
      </c>
      <c r="I46" s="123">
        <f>IFERROR(VLOOKUP($E46,$R$42:$Y$173,4,0),0)</f>
        <v>51012.199999999997</v>
      </c>
      <c r="J46" s="123">
        <f>IFERROR(VLOOKUP($E46,$R$42:$Y$173,5,0),0)</f>
        <v>51930.756200000003</v>
      </c>
      <c r="K46" s="123">
        <f>IFERROR(VLOOKUP($E46,$R$42:$Y$173,6,0),0)</f>
        <v>52865.853480199999</v>
      </c>
      <c r="L46" s="123">
        <f>IFERROR(VLOOKUP($E46,$R$42:$Y$173,7,0),0)</f>
        <v>53817.789728484204</v>
      </c>
      <c r="M46" s="123">
        <f>IFERROR(VLOOKUP($E46,$R$42:$Y$173,8,0),0)</f>
        <v>54786.868197835975</v>
      </c>
      <c r="N46" s="135"/>
      <c r="R46" s="268">
        <v>5015</v>
      </c>
      <c r="S46" s="269" t="s">
        <v>12</v>
      </c>
      <c r="T46" s="273">
        <v>0</v>
      </c>
      <c r="U46" s="273">
        <v>0</v>
      </c>
      <c r="V46" s="273">
        <v>0</v>
      </c>
      <c r="W46" s="273">
        <v>0</v>
      </c>
      <c r="X46" s="273">
        <v>0</v>
      </c>
      <c r="Y46" s="273">
        <v>0</v>
      </c>
    </row>
    <row r="47" spans="3:25" ht="13">
      <c r="C47" s="139"/>
      <c r="D47" s="25"/>
      <c r="E47" s="75">
        <v>5014</v>
      </c>
      <c r="F47" s="131" t="s">
        <v>11</v>
      </c>
      <c r="G47" s="57">
        <f>'Benchmarking Calculations'!F13</f>
        <v>0</v>
      </c>
      <c r="H47" s="123">
        <f>IFERROR(VLOOKUP($E47,$R$42:$Y$173,3,0),0)</f>
        <v>0</v>
      </c>
      <c r="I47" s="123">
        <f>IFERROR(VLOOKUP($E47,$R$42:$Y$173,4,0),0)</f>
        <v>0</v>
      </c>
      <c r="J47" s="123">
        <f>IFERROR(VLOOKUP($E47,$R$42:$Y$173,5,0),0)</f>
        <v>0</v>
      </c>
      <c r="K47" s="123">
        <f>IFERROR(VLOOKUP($E47,$R$42:$Y$173,6,0),0)</f>
        <v>0</v>
      </c>
      <c r="L47" s="123">
        <f>IFERROR(VLOOKUP($E47,$R$42:$Y$173,7,0),0)</f>
        <v>0</v>
      </c>
      <c r="M47" s="123">
        <f>IFERROR(VLOOKUP($E47,$R$42:$Y$173,8,0),0)</f>
        <v>0</v>
      </c>
      <c r="N47" s="135"/>
      <c r="R47" s="268">
        <v>5016</v>
      </c>
      <c r="S47" s="269" t="s">
        <v>206</v>
      </c>
      <c r="T47" s="273">
        <v>0</v>
      </c>
      <c r="U47" s="273">
        <v>0</v>
      </c>
      <c r="V47" s="273">
        <v>0</v>
      </c>
      <c r="W47" s="273">
        <v>0</v>
      </c>
      <c r="X47" s="273">
        <v>0</v>
      </c>
      <c r="Y47" s="273">
        <v>0</v>
      </c>
    </row>
    <row r="48" spans="3:25" ht="26">
      <c r="C48" s="139"/>
      <c r="D48" s="25"/>
      <c r="E48" s="75">
        <v>5015</v>
      </c>
      <c r="F48" s="131" t="s">
        <v>12</v>
      </c>
      <c r="G48" s="57">
        <f>'Benchmarking Calculations'!F14</f>
        <v>0</v>
      </c>
      <c r="H48" s="123">
        <f>IFERROR(VLOOKUP($E48,$R$42:$Y$173,3,0),0)</f>
        <v>0</v>
      </c>
      <c r="I48" s="123">
        <f>IFERROR(VLOOKUP($E48,$R$42:$Y$173,4,0),0)</f>
        <v>0</v>
      </c>
      <c r="J48" s="123">
        <f>IFERROR(VLOOKUP($E48,$R$42:$Y$173,5,0),0)</f>
        <v>0</v>
      </c>
      <c r="K48" s="123">
        <f>IFERROR(VLOOKUP($E48,$R$42:$Y$173,6,0),0)</f>
        <v>0</v>
      </c>
      <c r="L48" s="123">
        <f>IFERROR(VLOOKUP($E48,$R$42:$Y$173,7,0),0)</f>
        <v>0</v>
      </c>
      <c r="M48" s="123">
        <f>IFERROR(VLOOKUP($E48,$R$42:$Y$173,8,0),0)</f>
        <v>0</v>
      </c>
      <c r="N48" s="135"/>
      <c r="R48" s="268">
        <v>5017</v>
      </c>
      <c r="S48" s="269" t="s">
        <v>14</v>
      </c>
      <c r="T48" s="273">
        <v>0</v>
      </c>
      <c r="U48" s="273">
        <v>0</v>
      </c>
      <c r="V48" s="273">
        <v>0</v>
      </c>
      <c r="W48" s="273">
        <v>0</v>
      </c>
      <c r="X48" s="273">
        <v>0</v>
      </c>
      <c r="Y48" s="273">
        <v>0</v>
      </c>
    </row>
    <row r="49" spans="3:25" ht="13">
      <c r="C49" s="139"/>
      <c r="D49" s="25"/>
      <c r="E49" s="75">
        <v>5016</v>
      </c>
      <c r="F49" s="131" t="s">
        <v>13</v>
      </c>
      <c r="G49" s="57">
        <f>'Benchmarking Calculations'!F15</f>
        <v>0</v>
      </c>
      <c r="H49" s="123">
        <f>IFERROR(VLOOKUP($E49,$R$42:$Y$173,3,0),0)</f>
        <v>0</v>
      </c>
      <c r="I49" s="123">
        <f>IFERROR(VLOOKUP($E49,$R$42:$Y$173,4,0),0)</f>
        <v>0</v>
      </c>
      <c r="J49" s="123">
        <f>IFERROR(VLOOKUP($E49,$R$42:$Y$173,5,0),0)</f>
        <v>0</v>
      </c>
      <c r="K49" s="123">
        <f>IFERROR(VLOOKUP($E49,$R$42:$Y$173,6,0),0)</f>
        <v>0</v>
      </c>
      <c r="L49" s="123">
        <f>IFERROR(VLOOKUP($E49,$R$42:$Y$173,7,0),0)</f>
        <v>0</v>
      </c>
      <c r="M49" s="123">
        <f>IFERROR(VLOOKUP($E49,$R$42:$Y$173,8,0),0)</f>
        <v>0</v>
      </c>
      <c r="N49" s="135"/>
      <c r="R49" s="268">
        <v>5020</v>
      </c>
      <c r="S49" s="269" t="s">
        <v>207</v>
      </c>
      <c r="T49" s="273">
        <v>883776.77889080171</v>
      </c>
      <c r="U49" s="273">
        <v>769449.81019811344</v>
      </c>
      <c r="V49" s="273">
        <v>747236.88274141331</v>
      </c>
      <c r="W49" s="273">
        <v>761779.49580098887</v>
      </c>
      <c r="X49" s="273">
        <v>776606.99990836997</v>
      </c>
      <c r="Y49" s="273">
        <v>794733.41547416116</v>
      </c>
    </row>
    <row r="50" spans="3:25" ht="26">
      <c r="C50" s="139"/>
      <c r="D50" s="25"/>
      <c r="E50" s="75">
        <v>5017</v>
      </c>
      <c r="F50" s="131" t="s">
        <v>14</v>
      </c>
      <c r="G50" s="57">
        <f>'Benchmarking Calculations'!F16</f>
        <v>0</v>
      </c>
      <c r="H50" s="123">
        <f>IFERROR(VLOOKUP($E50,$R$42:$Y$173,3,0),0)</f>
        <v>0</v>
      </c>
      <c r="I50" s="123">
        <f>IFERROR(VLOOKUP($E50,$R$42:$Y$173,4,0),0)</f>
        <v>0</v>
      </c>
      <c r="J50" s="123">
        <f>IFERROR(VLOOKUP($E50,$R$42:$Y$173,5,0),0)</f>
        <v>0</v>
      </c>
      <c r="K50" s="123">
        <f>IFERROR(VLOOKUP($E50,$R$42:$Y$173,6,0),0)</f>
        <v>0</v>
      </c>
      <c r="L50" s="123">
        <f>IFERROR(VLOOKUP($E50,$R$42:$Y$173,7,0),0)</f>
        <v>0</v>
      </c>
      <c r="M50" s="123">
        <f>IFERROR(VLOOKUP($E50,$R$42:$Y$173,8,0),0)</f>
        <v>0</v>
      </c>
      <c r="N50" s="135"/>
      <c r="R50" s="268">
        <v>5025</v>
      </c>
      <c r="S50" s="269" t="s">
        <v>16</v>
      </c>
      <c r="T50" s="273">
        <v>-473641.48999999999</v>
      </c>
      <c r="U50" s="273">
        <v>-499759.68959999981</v>
      </c>
      <c r="V50" s="273">
        <v>-509405.71621679998</v>
      </c>
      <c r="W50" s="273">
        <v>-520103.23625735281</v>
      </c>
      <c r="X50" s="273">
        <v>-531025.40421875706</v>
      </c>
      <c r="Y50" s="273">
        <v>-541274.28241408477</v>
      </c>
    </row>
    <row r="51" spans="3:25" ht="13">
      <c r="C51" s="139"/>
      <c r="D51" s="25"/>
      <c r="E51" s="75">
        <v>5020</v>
      </c>
      <c r="F51" s="131" t="s">
        <v>15</v>
      </c>
      <c r="G51" s="57">
        <f>'Benchmarking Calculations'!F17</f>
        <v>748270</v>
      </c>
      <c r="H51" s="123">
        <f>IFERROR(VLOOKUP($E51,$R$42:$Y$173,3,0),0)</f>
        <v>883776.77889080171</v>
      </c>
      <c r="I51" s="123">
        <f>IFERROR(VLOOKUP($E51,$R$42:$Y$173,4,0),0)</f>
        <v>769449.81019811344</v>
      </c>
      <c r="J51" s="123">
        <f>IFERROR(VLOOKUP($E51,$R$42:$Y$173,5,0),0)</f>
        <v>747236.88274141331</v>
      </c>
      <c r="K51" s="123">
        <f>IFERROR(VLOOKUP($E51,$R$42:$Y$173,6,0),0)</f>
        <v>761779.49580098887</v>
      </c>
      <c r="L51" s="123">
        <f>IFERROR(VLOOKUP($E51,$R$42:$Y$173,7,0),0)</f>
        <v>776606.99990836997</v>
      </c>
      <c r="M51" s="123">
        <f>IFERROR(VLOOKUP($E51,$R$42:$Y$173,8,0),0)</f>
        <v>794733.41547416116</v>
      </c>
      <c r="N51" s="135"/>
      <c r="R51" s="268">
        <v>5030</v>
      </c>
      <c r="S51" s="269" t="s">
        <v>208</v>
      </c>
      <c r="T51" s="273">
        <v>0</v>
      </c>
      <c r="U51" s="273">
        <v>0</v>
      </c>
      <c r="V51" s="273">
        <v>0</v>
      </c>
      <c r="W51" s="273">
        <v>0</v>
      </c>
      <c r="X51" s="273">
        <v>0</v>
      </c>
      <c r="Y51" s="273">
        <v>0</v>
      </c>
    </row>
    <row r="52" spans="3:25" ht="26">
      <c r="C52" s="139"/>
      <c r="D52" s="25"/>
      <c r="E52" s="75">
        <v>5025</v>
      </c>
      <c r="F52" s="131" t="s">
        <v>16</v>
      </c>
      <c r="G52" s="57">
        <f>'Benchmarking Calculations'!F18</f>
        <v>-407467</v>
      </c>
      <c r="H52" s="123">
        <f>IFERROR(VLOOKUP($E52,$R$42:$Y$173,3,0),0)</f>
        <v>-473641.48999999999</v>
      </c>
      <c r="I52" s="123">
        <f>IFERROR(VLOOKUP($E52,$R$42:$Y$173,4,0),0)</f>
        <v>-499759.68959999981</v>
      </c>
      <c r="J52" s="123">
        <f>IFERROR(VLOOKUP($E52,$R$42:$Y$173,5,0),0)</f>
        <v>-509405.71621679998</v>
      </c>
      <c r="K52" s="123">
        <f>IFERROR(VLOOKUP($E52,$R$42:$Y$173,6,0),0)</f>
        <v>-520103.23625735281</v>
      </c>
      <c r="L52" s="123">
        <f>IFERROR(VLOOKUP($E52,$R$42:$Y$173,7,0),0)</f>
        <v>-531025.40421875706</v>
      </c>
      <c r="M52" s="123">
        <f>IFERROR(VLOOKUP($E52,$R$42:$Y$173,8,0),0)</f>
        <v>-541274.28241408477</v>
      </c>
      <c r="N52" s="135"/>
      <c r="R52" s="268">
        <v>5035</v>
      </c>
      <c r="S52" s="269" t="s">
        <v>17</v>
      </c>
      <c r="T52" s="273">
        <v>0</v>
      </c>
      <c r="U52" s="273">
        <v>0</v>
      </c>
      <c r="V52" s="273">
        <v>0</v>
      </c>
      <c r="W52" s="273">
        <v>0</v>
      </c>
      <c r="X52" s="273">
        <v>0</v>
      </c>
      <c r="Y52" s="273">
        <v>0</v>
      </c>
    </row>
    <row r="53" spans="3:25" ht="13">
      <c r="C53" s="139"/>
      <c r="D53" s="25"/>
      <c r="E53" s="75">
        <v>5035</v>
      </c>
      <c r="F53" s="131" t="s">
        <v>17</v>
      </c>
      <c r="G53" s="57">
        <f>'Benchmarking Calculations'!F19</f>
        <v>0</v>
      </c>
      <c r="H53" s="123">
        <f>IFERROR(VLOOKUP($E53,$R$42:$Y$173,3,0),0)</f>
        <v>0</v>
      </c>
      <c r="I53" s="123">
        <f>IFERROR(VLOOKUP($E53,$R$42:$Y$173,4,0),0)</f>
        <v>0</v>
      </c>
      <c r="J53" s="123">
        <f>IFERROR(VLOOKUP($E53,$R$42:$Y$173,5,0),0)</f>
        <v>0</v>
      </c>
      <c r="K53" s="123">
        <f>IFERROR(VLOOKUP($E53,$R$42:$Y$173,6,0),0)</f>
        <v>0</v>
      </c>
      <c r="L53" s="123">
        <f>IFERROR(VLOOKUP($E53,$R$42:$Y$173,7,0),0)</f>
        <v>0</v>
      </c>
      <c r="M53" s="123">
        <f>IFERROR(VLOOKUP($E53,$R$42:$Y$173,8,0),0)</f>
        <v>0</v>
      </c>
      <c r="N53" s="135"/>
      <c r="R53" s="268">
        <v>5040</v>
      </c>
      <c r="S53" s="269" t="s">
        <v>209</v>
      </c>
      <c r="T53" s="273">
        <v>34451.480800000005</v>
      </c>
      <c r="U53" s="273">
        <v>34820.510416000005</v>
      </c>
      <c r="V53" s="273">
        <v>35197.142902719999</v>
      </c>
      <c r="W53" s="273">
        <v>35600.282903677115</v>
      </c>
      <c r="X53" s="273">
        <v>36011.888844654342</v>
      </c>
      <c r="Y53" s="273">
        <v>36412.363199619467</v>
      </c>
    </row>
    <row r="54" spans="3:25" ht="26">
      <c r="C54" s="139"/>
      <c r="D54" s="25"/>
      <c r="E54" s="75">
        <v>5040</v>
      </c>
      <c r="F54" s="131" t="s">
        <v>18</v>
      </c>
      <c r="G54" s="57">
        <f>'Benchmarking Calculations'!F20</f>
        <v>35723</v>
      </c>
      <c r="H54" s="123">
        <f>IFERROR(VLOOKUP($E54,$R$42:$Y$173,3,0),0)</f>
        <v>34451.480800000005</v>
      </c>
      <c r="I54" s="123">
        <f>IFERROR(VLOOKUP($E54,$R$42:$Y$173,4,0),0)</f>
        <v>34820.510416000005</v>
      </c>
      <c r="J54" s="123">
        <f>IFERROR(VLOOKUP($E54,$R$42:$Y$173,5,0),0)</f>
        <v>35197.142902719999</v>
      </c>
      <c r="K54" s="123">
        <f>IFERROR(VLOOKUP($E54,$R$42:$Y$173,6,0),0)</f>
        <v>35600.282903677115</v>
      </c>
      <c r="L54" s="123">
        <f>IFERROR(VLOOKUP($E54,$R$42:$Y$173,7,0),0)</f>
        <v>36011.888844654342</v>
      </c>
      <c r="M54" s="123">
        <f>IFERROR(VLOOKUP($E54,$R$42:$Y$173,8,0),0)</f>
        <v>36412.363199619467</v>
      </c>
      <c r="N54" s="135"/>
      <c r="R54" s="268">
        <v>5045</v>
      </c>
      <c r="S54" s="269" t="s">
        <v>19</v>
      </c>
      <c r="T54" s="273">
        <v>6603.6000000000013</v>
      </c>
      <c r="U54" s="273">
        <v>6735.6720000000014</v>
      </c>
      <c r="V54" s="273">
        <v>6877.1211120000016</v>
      </c>
      <c r="W54" s="273">
        <v>7021.5406553520015</v>
      </c>
      <c r="X54" s="273">
        <v>7168.9930091143933</v>
      </c>
      <c r="Y54" s="273">
        <v>7319.5418623057958</v>
      </c>
    </row>
    <row r="55" spans="3:25" ht="26">
      <c r="C55" s="139"/>
      <c r="D55" s="25"/>
      <c r="E55" s="75">
        <v>5045</v>
      </c>
      <c r="F55" s="131" t="s">
        <v>19</v>
      </c>
      <c r="G55" s="57">
        <f>'Benchmarking Calculations'!F21</f>
        <v>3182</v>
      </c>
      <c r="H55" s="123">
        <f>IFERROR(VLOOKUP($E55,$R$42:$Y$173,3,0),0)</f>
        <v>6603.6000000000013</v>
      </c>
      <c r="I55" s="123">
        <f>IFERROR(VLOOKUP($E55,$R$42:$Y$173,4,0),0)</f>
        <v>6735.6720000000014</v>
      </c>
      <c r="J55" s="123">
        <f>IFERROR(VLOOKUP($E55,$R$42:$Y$173,5,0),0)</f>
        <v>6877.1211120000016</v>
      </c>
      <c r="K55" s="123">
        <f>IFERROR(VLOOKUP($E55,$R$42:$Y$173,6,0),0)</f>
        <v>7021.5406553520015</v>
      </c>
      <c r="L55" s="123">
        <f>IFERROR(VLOOKUP($E55,$R$42:$Y$173,7,0),0)</f>
        <v>7168.9930091143933</v>
      </c>
      <c r="M55" s="123">
        <f>IFERROR(VLOOKUP($E55,$R$42:$Y$173,8,0),0)</f>
        <v>7319.5418623057958</v>
      </c>
      <c r="N55" s="135"/>
      <c r="R55" s="268">
        <v>5050</v>
      </c>
      <c r="S55" s="269" t="s">
        <v>210</v>
      </c>
      <c r="T55" s="273">
        <v>0</v>
      </c>
      <c r="U55" s="273">
        <v>0</v>
      </c>
      <c r="V55" s="273">
        <v>0</v>
      </c>
      <c r="W55" s="273">
        <v>0</v>
      </c>
      <c r="X55" s="273">
        <v>0</v>
      </c>
      <c r="Y55" s="273">
        <v>0</v>
      </c>
    </row>
    <row r="56" spans="3:25" ht="13">
      <c r="C56" s="139"/>
      <c r="D56" s="25"/>
      <c r="E56" s="75">
        <v>5055</v>
      </c>
      <c r="F56" s="131" t="s">
        <v>20</v>
      </c>
      <c r="G56" s="57">
        <f>'Benchmarking Calculations'!F22</f>
        <v>0</v>
      </c>
      <c r="H56" s="123">
        <f>IFERROR(VLOOKUP($E56,$R$42:$Y$173,3,0),0)</f>
        <v>0</v>
      </c>
      <c r="I56" s="123">
        <f>IFERROR(VLOOKUP($E56,$R$42:$Y$173,4,0),0)</f>
        <v>0</v>
      </c>
      <c r="J56" s="123">
        <f>IFERROR(VLOOKUP($E56,$R$42:$Y$173,5,0),0)</f>
        <v>0</v>
      </c>
      <c r="K56" s="123">
        <f>IFERROR(VLOOKUP($E56,$R$42:$Y$173,6,0),0)</f>
        <v>0</v>
      </c>
      <c r="L56" s="123">
        <f>IFERROR(VLOOKUP($E56,$R$42:$Y$173,7,0),0)</f>
        <v>0</v>
      </c>
      <c r="M56" s="123">
        <f>IFERROR(VLOOKUP($E56,$R$42:$Y$173,8,0),0)</f>
        <v>0</v>
      </c>
      <c r="N56" s="135"/>
      <c r="R56" s="268">
        <v>5055</v>
      </c>
      <c r="S56" s="269" t="s">
        <v>211</v>
      </c>
      <c r="T56" s="273">
        <v>0</v>
      </c>
      <c r="U56" s="273">
        <v>0</v>
      </c>
      <c r="V56" s="273">
        <v>0</v>
      </c>
      <c r="W56" s="273">
        <v>0</v>
      </c>
      <c r="X56" s="273">
        <v>0</v>
      </c>
      <c r="Y56" s="273">
        <v>0</v>
      </c>
    </row>
    <row r="57" spans="3:25" ht="13">
      <c r="C57" s="139"/>
      <c r="D57" s="25"/>
      <c r="E57" s="75">
        <v>5065</v>
      </c>
      <c r="F57" s="131" t="s">
        <v>21</v>
      </c>
      <c r="G57" s="57">
        <f>'Benchmarking Calculations'!F23</f>
        <v>651051</v>
      </c>
      <c r="H57" s="123">
        <f>IFERROR(VLOOKUP($E57,$R$42:$Y$173,3,0),0)</f>
        <v>656120.77303999988</v>
      </c>
      <c r="I57" s="123">
        <f>IFERROR(VLOOKUP($E57,$R$42:$Y$173,4,0),0)</f>
        <v>669243.18850079982</v>
      </c>
      <c r="J57" s="123">
        <f>IFERROR(VLOOKUP($E57,$R$42:$Y$173,5,0),0)</f>
        <v>682712.96422101592</v>
      </c>
      <c r="K57" s="123">
        <f>IFERROR(VLOOKUP($E57,$R$42:$Y$173,6,0),0)</f>
        <v>697067.03648405673</v>
      </c>
      <c r="L57" s="123">
        <f>IFERROR(VLOOKUP($E57,$R$42:$Y$173,7,0),0)</f>
        <v>711722.88626491034</v>
      </c>
      <c r="M57" s="123">
        <f>IFERROR(VLOOKUP($E57,$R$42:$Y$173,8,0),0)</f>
        <v>726694.37786657002</v>
      </c>
      <c r="N57" s="135"/>
      <c r="R57" s="268">
        <v>5060</v>
      </c>
      <c r="S57" s="269" t="s">
        <v>212</v>
      </c>
      <c r="T57" s="273">
        <v>0</v>
      </c>
      <c r="U57" s="273">
        <v>0</v>
      </c>
      <c r="V57" s="273">
        <v>0</v>
      </c>
      <c r="W57" s="273">
        <v>0</v>
      </c>
      <c r="X57" s="273">
        <v>0</v>
      </c>
      <c r="Y57" s="273">
        <v>0</v>
      </c>
    </row>
    <row r="58" spans="3:25" ht="13">
      <c r="C58" s="139"/>
      <c r="D58" s="25"/>
      <c r="E58" s="75">
        <v>5070</v>
      </c>
      <c r="F58" s="131" t="s">
        <v>22</v>
      </c>
      <c r="G58" s="57">
        <f>'Benchmarking Calculations'!F24</f>
        <v>0</v>
      </c>
      <c r="H58" s="123">
        <f>IFERROR(VLOOKUP($E58,$R$42:$Y$173,3,0),0)</f>
        <v>0</v>
      </c>
      <c r="I58" s="123">
        <f>IFERROR(VLOOKUP($E58,$R$42:$Y$173,4,0),0)</f>
        <v>0</v>
      </c>
      <c r="J58" s="123">
        <f>IFERROR(VLOOKUP($E58,$R$42:$Y$173,5,0),0)</f>
        <v>0</v>
      </c>
      <c r="K58" s="123">
        <f>IFERROR(VLOOKUP($E58,$R$42:$Y$173,6,0),0)</f>
        <v>0</v>
      </c>
      <c r="L58" s="123">
        <f>IFERROR(VLOOKUP($E58,$R$42:$Y$173,7,0),0)</f>
        <v>0</v>
      </c>
      <c r="M58" s="123">
        <f>IFERROR(VLOOKUP($E58,$R$42:$Y$173,8,0),0)</f>
        <v>0</v>
      </c>
      <c r="N58" s="135"/>
      <c r="R58" s="268">
        <v>5065</v>
      </c>
      <c r="S58" s="269" t="s">
        <v>21</v>
      </c>
      <c r="T58" s="273">
        <v>656120.77303999988</v>
      </c>
      <c r="U58" s="273">
        <v>669243.18850079982</v>
      </c>
      <c r="V58" s="273">
        <v>682712.96422101592</v>
      </c>
      <c r="W58" s="273">
        <v>697067.03648405673</v>
      </c>
      <c r="X58" s="273">
        <v>711722.88626491034</v>
      </c>
      <c r="Y58" s="273">
        <v>726694.37786657002</v>
      </c>
    </row>
    <row r="59" spans="3:25" ht="13">
      <c r="C59" s="139"/>
      <c r="D59" s="25"/>
      <c r="E59" s="75">
        <v>5075</v>
      </c>
      <c r="F59" s="131" t="s">
        <v>23</v>
      </c>
      <c r="G59" s="57">
        <f>'Benchmarking Calculations'!F25</f>
        <v>0</v>
      </c>
      <c r="H59" s="123">
        <f>IFERROR(VLOOKUP($E59,$R$42:$Y$173,3,0),0)</f>
        <v>0</v>
      </c>
      <c r="I59" s="123">
        <f>IFERROR(VLOOKUP($E59,$R$42:$Y$173,4,0),0)</f>
        <v>0</v>
      </c>
      <c r="J59" s="123">
        <f>IFERROR(VLOOKUP($E59,$R$42:$Y$173,5,0),0)</f>
        <v>0</v>
      </c>
      <c r="K59" s="123">
        <f>IFERROR(VLOOKUP($E59,$R$42:$Y$173,6,0),0)</f>
        <v>0</v>
      </c>
      <c r="L59" s="123">
        <f>IFERROR(VLOOKUP($E59,$R$42:$Y$173,7,0),0)</f>
        <v>0</v>
      </c>
      <c r="M59" s="123">
        <f>IFERROR(VLOOKUP($E59,$R$42:$Y$173,8,0),0)</f>
        <v>0</v>
      </c>
      <c r="N59" s="135"/>
      <c r="R59" s="268">
        <v>5070</v>
      </c>
      <c r="S59" s="269" t="s">
        <v>213</v>
      </c>
      <c r="T59" s="273">
        <v>0</v>
      </c>
      <c r="U59" s="273">
        <v>0</v>
      </c>
      <c r="V59" s="273">
        <v>0</v>
      </c>
      <c r="W59" s="273">
        <v>0</v>
      </c>
      <c r="X59" s="273">
        <v>0</v>
      </c>
      <c r="Y59" s="273">
        <v>0</v>
      </c>
    </row>
    <row r="60" spans="3:25" ht="13">
      <c r="C60" s="139"/>
      <c r="D60" s="25"/>
      <c r="E60" s="75">
        <v>5085</v>
      </c>
      <c r="F60" s="131" t="s">
        <v>24</v>
      </c>
      <c r="G60" s="57">
        <f>'Benchmarking Calculations'!F26</f>
        <v>104901</v>
      </c>
      <c r="H60" s="123">
        <f>IFERROR(VLOOKUP($E60,$R$42:$Y$173,3,0),0)</f>
        <v>125610.53060000023</v>
      </c>
      <c r="I60" s="123">
        <f>IFERROR(VLOOKUP($E60,$R$42:$Y$173,4,0),0)</f>
        <v>64883.577407999866</v>
      </c>
      <c r="J60" s="123">
        <f>IFERROR(VLOOKUP($E60,$R$42:$Y$173,5,0),0)</f>
        <v>66290.486825159722</v>
      </c>
      <c r="K60" s="123">
        <f>IFERROR(VLOOKUP($E60,$R$42:$Y$173,6,0),0)</f>
        <v>67696.267060008104</v>
      </c>
      <c r="L60" s="123">
        <f>IFERROR(VLOOKUP($E60,$R$42:$Y$173,7,0),0)</f>
        <v>69131.842280018667</v>
      </c>
      <c r="M60" s="123">
        <f>IFERROR(VLOOKUP($E60,$R$42:$Y$173,8,0),0)</f>
        <v>71148.397769283998</v>
      </c>
      <c r="N60" s="135"/>
      <c r="R60" s="268">
        <v>5075</v>
      </c>
      <c r="S60" s="269" t="s">
        <v>214</v>
      </c>
      <c r="T60" s="273">
        <v>0</v>
      </c>
      <c r="U60" s="273">
        <v>0</v>
      </c>
      <c r="V60" s="273">
        <v>0</v>
      </c>
      <c r="W60" s="273">
        <v>0</v>
      </c>
      <c r="X60" s="273">
        <v>0</v>
      </c>
      <c r="Y60" s="273">
        <v>0</v>
      </c>
    </row>
    <row r="61" spans="3:25" ht="13">
      <c r="C61" s="139"/>
      <c r="D61" s="25"/>
      <c r="E61" s="75">
        <v>5090</v>
      </c>
      <c r="F61" s="131" t="s">
        <v>25</v>
      </c>
      <c r="G61" s="57">
        <f>'Benchmarking Calculations'!F27</f>
        <v>0</v>
      </c>
      <c r="H61" s="123">
        <f>IFERROR(VLOOKUP($E61,$R$42:$Y$173,3,0),0)</f>
        <v>0</v>
      </c>
      <c r="I61" s="123">
        <f>IFERROR(VLOOKUP($E61,$R$42:$Y$173,4,0),0)</f>
        <v>0</v>
      </c>
      <c r="J61" s="123">
        <f>IFERROR(VLOOKUP($E61,$R$42:$Y$173,5,0),0)</f>
        <v>0</v>
      </c>
      <c r="K61" s="123">
        <f>IFERROR(VLOOKUP($E61,$R$42:$Y$173,6,0),0)</f>
        <v>0</v>
      </c>
      <c r="L61" s="123">
        <f>IFERROR(VLOOKUP($E61,$R$42:$Y$173,7,0),0)</f>
        <v>0</v>
      </c>
      <c r="M61" s="123">
        <f>IFERROR(VLOOKUP($E61,$R$42:$Y$173,8,0),0)</f>
        <v>0</v>
      </c>
      <c r="N61" s="135"/>
      <c r="R61" s="268">
        <v>5085</v>
      </c>
      <c r="S61" s="269" t="s">
        <v>24</v>
      </c>
      <c r="T61" s="273">
        <v>125610.53060000023</v>
      </c>
      <c r="U61" s="273">
        <v>64883.577407999866</v>
      </c>
      <c r="V61" s="273">
        <v>66290.486825159722</v>
      </c>
      <c r="W61" s="273">
        <v>67696.267060008104</v>
      </c>
      <c r="X61" s="273">
        <v>69131.842280018667</v>
      </c>
      <c r="Y61" s="273">
        <v>71148.397769283998</v>
      </c>
    </row>
    <row r="62" spans="3:25" ht="13">
      <c r="C62" s="139"/>
      <c r="D62" s="25"/>
      <c r="E62" s="75">
        <v>5095</v>
      </c>
      <c r="F62" s="131" t="s">
        <v>26</v>
      </c>
      <c r="G62" s="57">
        <f>'Benchmarking Calculations'!F28</f>
        <v>0</v>
      </c>
      <c r="H62" s="123">
        <f>IFERROR(VLOOKUP($E62,$R$42:$Y$173,3,0),0)</f>
        <v>0</v>
      </c>
      <c r="I62" s="123">
        <f>IFERROR(VLOOKUP($E62,$R$42:$Y$173,4,0),0)</f>
        <v>0</v>
      </c>
      <c r="J62" s="123">
        <f>IFERROR(VLOOKUP($E62,$R$42:$Y$173,5,0),0)</f>
        <v>0</v>
      </c>
      <c r="K62" s="123">
        <f>IFERROR(VLOOKUP($E62,$R$42:$Y$173,6,0),0)</f>
        <v>0</v>
      </c>
      <c r="L62" s="123">
        <f>IFERROR(VLOOKUP($E62,$R$42:$Y$173,7,0),0)</f>
        <v>0</v>
      </c>
      <c r="M62" s="123">
        <f>IFERROR(VLOOKUP($E62,$R$42:$Y$173,8,0),0)</f>
        <v>0</v>
      </c>
      <c r="N62" s="135"/>
      <c r="R62" s="268">
        <v>5090</v>
      </c>
      <c r="S62" s="269" t="s">
        <v>25</v>
      </c>
      <c r="T62" s="273">
        <v>0</v>
      </c>
      <c r="U62" s="273">
        <v>0</v>
      </c>
      <c r="V62" s="273">
        <v>0</v>
      </c>
      <c r="W62" s="273">
        <v>0</v>
      </c>
      <c r="X62" s="273">
        <v>0</v>
      </c>
      <c r="Y62" s="273">
        <v>0</v>
      </c>
    </row>
    <row r="63" spans="3:25" ht="13">
      <c r="C63" s="139"/>
      <c r="D63" s="25"/>
      <c r="E63" s="106">
        <v>5096</v>
      </c>
      <c r="F63" s="149" t="s">
        <v>27</v>
      </c>
      <c r="G63" s="107">
        <f>'Benchmarking Calculations'!F29</f>
        <v>0</v>
      </c>
      <c r="H63" s="123">
        <f>IFERROR(VLOOKUP($E63,$R$42:$Y$173,3,0),0)</f>
        <v>0</v>
      </c>
      <c r="I63" s="123">
        <f>IFERROR(VLOOKUP($E63,$R$42:$Y$173,4,0),0)</f>
        <v>0</v>
      </c>
      <c r="J63" s="123">
        <f>IFERROR(VLOOKUP($E63,$R$42:$Y$173,5,0),0)</f>
        <v>0</v>
      </c>
      <c r="K63" s="123">
        <f>IFERROR(VLOOKUP($E63,$R$42:$Y$173,6,0),0)</f>
        <v>0</v>
      </c>
      <c r="L63" s="123">
        <f>IFERROR(VLOOKUP($E63,$R$42:$Y$173,7,0),0)</f>
        <v>0</v>
      </c>
      <c r="M63" s="123">
        <f>IFERROR(VLOOKUP($E63,$R$42:$Y$173,8,0),0)</f>
        <v>0</v>
      </c>
      <c r="N63" s="135"/>
      <c r="R63" s="268">
        <v>5095</v>
      </c>
      <c r="S63" s="269" t="s">
        <v>26</v>
      </c>
      <c r="T63" s="273">
        <v>0</v>
      </c>
      <c r="U63" s="273">
        <v>0</v>
      </c>
      <c r="V63" s="273">
        <v>0</v>
      </c>
      <c r="W63" s="273">
        <v>0</v>
      </c>
      <c r="X63" s="273">
        <v>0</v>
      </c>
      <c r="Y63" s="273">
        <v>0</v>
      </c>
    </row>
    <row r="64" spans="3:25" ht="13">
      <c r="C64" s="139"/>
      <c r="D64" s="25"/>
      <c r="E64" s="15"/>
      <c r="F64" s="77" t="s">
        <v>28</v>
      </c>
      <c r="G64" s="105">
        <f>'Benchmarking Calculations'!F30</f>
        <v>1995035</v>
      </c>
      <c r="H64" s="78">
        <f>SUM(H44:H63)</f>
        <v>2063979.2939068021</v>
      </c>
      <c r="I64" s="78">
        <f t="shared" si="14" ref="I64:M64">SUM(I44:I63)</f>
        <v>1855100.5823102733</v>
      </c>
      <c r="J64" s="78">
        <f>SUM(J44:J63)</f>
        <v>1854772.2620584159</v>
      </c>
      <c r="K64" s="78">
        <f>SUM(K44:K63)</f>
        <v>1892124.4195196482</v>
      </c>
      <c r="L64" s="78">
        <f>SUM(L44:L63)</f>
        <v>1930238.5253870417</v>
      </c>
      <c r="M64" s="78">
        <f>SUM(M44:M63)</f>
        <v>1973313.2605820755</v>
      </c>
      <c r="N64" s="140" t="s">
        <v>29</v>
      </c>
      <c r="R64" s="268">
        <v>5096</v>
      </c>
      <c r="S64" s="269" t="s">
        <v>215</v>
      </c>
      <c r="T64" s="273">
        <v>0</v>
      </c>
      <c r="U64" s="273">
        <v>0</v>
      </c>
      <c r="V64" s="273">
        <v>0</v>
      </c>
      <c r="W64" s="273">
        <v>0</v>
      </c>
      <c r="X64" s="273">
        <v>0</v>
      </c>
      <c r="Y64" s="273">
        <v>0</v>
      </c>
    </row>
    <row r="65" spans="3:25" ht="13">
      <c r="C65" s="139"/>
      <c r="D65" s="25"/>
      <c r="E65" s="75">
        <v>5105</v>
      </c>
      <c r="F65" s="131" t="s">
        <v>30</v>
      </c>
      <c r="G65" s="57">
        <f>'Benchmarking Calculations'!F31</f>
        <v>0</v>
      </c>
      <c r="H65" s="123">
        <f t="shared" si="15" ref="H65:H77">IFERROR(VLOOKUP($E65,$R$42:$Y$173,3,0),0)</f>
        <v>143140.37057600007</v>
      </c>
      <c r="I65" s="123">
        <f t="shared" si="16" ref="I65:I77">IFERROR(VLOOKUP($E65,$R$42:$Y$173,4,0),0)</f>
        <v>128766.39816736005</v>
      </c>
      <c r="J65" s="123">
        <f t="shared" si="17" ref="J65:J77">IFERROR(VLOOKUP($E65,$R$42:$Y$173,5,0),0)</f>
        <v>131346.96354510722</v>
      </c>
      <c r="K65" s="123">
        <f t="shared" si="18" ref="K65:K77">IFERROR(VLOOKUP($E65,$R$42:$Y$173,6,0),0)</f>
        <v>134117.2197896344</v>
      </c>
      <c r="L65" s="123">
        <f t="shared" si="19" ref="L65:L77">IFERROR(VLOOKUP($E65,$R$42:$Y$173,7,0),0)</f>
        <v>136945.89081549837</v>
      </c>
      <c r="M65" s="123">
        <f t="shared" si="20" ref="M65:M77">IFERROR(VLOOKUP($E65,$R$42:$Y$173,8,0),0)</f>
        <v>140132.47631971323</v>
      </c>
      <c r="N65" s="135"/>
      <c r="R65" s="266"/>
      <c r="S65" s="267" t="s">
        <v>216</v>
      </c>
      <c r="T65" s="273"/>
      <c r="U65" s="273"/>
      <c r="V65" s="273"/>
      <c r="W65" s="273"/>
      <c r="X65" s="273"/>
      <c r="Y65" s="273"/>
    </row>
    <row r="66" spans="3:25" ht="13">
      <c r="C66" s="139"/>
      <c r="D66" s="25"/>
      <c r="E66" s="75">
        <v>5110</v>
      </c>
      <c r="F66" s="131" t="s">
        <v>31</v>
      </c>
      <c r="G66" s="57">
        <f>'Benchmarking Calculations'!F32</f>
        <v>6135</v>
      </c>
      <c r="H66" s="123">
        <f>IFERROR(VLOOKUP($E66,$R$42:$Y$173,3,0),0)</f>
        <v>8343.6000000000004</v>
      </c>
      <c r="I66" s="123">
        <f>IFERROR(VLOOKUP($E66,$R$42:$Y$173,4,0),0)</f>
        <v>8510.4719999999998</v>
      </c>
      <c r="J66" s="123">
        <f>IFERROR(VLOOKUP($E66,$R$42:$Y$173,5,0),0)</f>
        <v>8689.1919120000002</v>
      </c>
      <c r="K66" s="123">
        <f>IFERROR(VLOOKUP($E66,$R$42:$Y$173,6,0),0)</f>
        <v>8871.6649421519996</v>
      </c>
      <c r="L66" s="123">
        <f>IFERROR(VLOOKUP($E66,$R$42:$Y$173,7,0),0)</f>
        <v>9057.9699059371924</v>
      </c>
      <c r="M66" s="123">
        <f>IFERROR(VLOOKUP($E66,$R$42:$Y$173,8,0),0)</f>
        <v>9248.1872739618739</v>
      </c>
      <c r="N66" s="135"/>
      <c r="R66" s="268">
        <v>5105</v>
      </c>
      <c r="S66" s="269" t="s">
        <v>30</v>
      </c>
      <c r="T66" s="273">
        <v>143140.37057600007</v>
      </c>
      <c r="U66" s="273">
        <v>128766.39816736005</v>
      </c>
      <c r="V66" s="273">
        <v>131346.96354510722</v>
      </c>
      <c r="W66" s="273">
        <v>134117.2197896344</v>
      </c>
      <c r="X66" s="273">
        <v>136945.89081549837</v>
      </c>
      <c r="Y66" s="273">
        <v>140132.47631971323</v>
      </c>
    </row>
    <row r="67" spans="3:25" ht="13">
      <c r="C67" s="139"/>
      <c r="D67" s="25"/>
      <c r="E67" s="75">
        <v>5112</v>
      </c>
      <c r="F67" s="131" t="s">
        <v>32</v>
      </c>
      <c r="G67" s="57">
        <f>'Benchmarking Calculations'!F33</f>
        <v>0</v>
      </c>
      <c r="H67" s="123">
        <f>IFERROR(VLOOKUP($E67,$R$42:$Y$173,3,0),0)</f>
        <v>0</v>
      </c>
      <c r="I67" s="123">
        <f>IFERROR(VLOOKUP($E67,$R$42:$Y$173,4,0),0)</f>
        <v>0</v>
      </c>
      <c r="J67" s="123">
        <f>IFERROR(VLOOKUP($E67,$R$42:$Y$173,5,0),0)</f>
        <v>0</v>
      </c>
      <c r="K67" s="123">
        <f>IFERROR(VLOOKUP($E67,$R$42:$Y$173,6,0),0)</f>
        <v>0</v>
      </c>
      <c r="L67" s="123">
        <f>IFERROR(VLOOKUP($E67,$R$42:$Y$173,7,0),0)</f>
        <v>0</v>
      </c>
      <c r="M67" s="123">
        <f>IFERROR(VLOOKUP($E67,$R$42:$Y$173,8,0),0)</f>
        <v>0</v>
      </c>
      <c r="N67" s="135"/>
      <c r="R67" s="268">
        <v>5110</v>
      </c>
      <c r="S67" s="269" t="s">
        <v>217</v>
      </c>
      <c r="T67" s="273">
        <v>8343.6000000000004</v>
      </c>
      <c r="U67" s="273">
        <v>8510.4719999999998</v>
      </c>
      <c r="V67" s="273">
        <v>8689.1919120000002</v>
      </c>
      <c r="W67" s="273">
        <v>8871.6649421519996</v>
      </c>
      <c r="X67" s="273">
        <v>9057.9699059371924</v>
      </c>
      <c r="Y67" s="273">
        <v>9248.1872739618739</v>
      </c>
    </row>
    <row r="68" spans="3:25" ht="13">
      <c r="C68" s="139"/>
      <c r="D68" s="25"/>
      <c r="E68" s="75">
        <v>5114</v>
      </c>
      <c r="F68" s="131" t="s">
        <v>33</v>
      </c>
      <c r="G68" s="57">
        <f>'Benchmarking Calculations'!F34</f>
        <v>222637</v>
      </c>
      <c r="H68" s="123">
        <f>IFERROR(VLOOKUP($E68,$R$42:$Y$173,3,0),0)</f>
        <v>230166.83599999998</v>
      </c>
      <c r="I68" s="123">
        <f>IFERROR(VLOOKUP($E68,$R$42:$Y$173,4,0),0)</f>
        <v>234742.17272</v>
      </c>
      <c r="J68" s="123">
        <f>IFERROR(VLOOKUP($E68,$R$42:$Y$173,5,0),0)</f>
        <v>239422.4477816</v>
      </c>
      <c r="K68" s="123">
        <f>IFERROR(VLOOKUP($E68,$R$42:$Y$173,6,0),0)</f>
        <v>244406.7935770136</v>
      </c>
      <c r="L68" s="123">
        <f>IFERROR(VLOOKUP($E68,$R$42:$Y$173,7,0),0)</f>
        <v>249495.02717318686</v>
      </c>
      <c r="M68" s="123">
        <f>IFERROR(VLOOKUP($E68,$R$42:$Y$173,8,0),0)</f>
        <v>254469.68874484685</v>
      </c>
      <c r="N68" s="135"/>
      <c r="R68" s="268">
        <v>5112</v>
      </c>
      <c r="S68" s="269" t="s">
        <v>32</v>
      </c>
      <c r="T68" s="273">
        <v>0</v>
      </c>
      <c r="U68" s="273">
        <v>0</v>
      </c>
      <c r="V68" s="273">
        <v>0</v>
      </c>
      <c r="W68" s="273">
        <v>0</v>
      </c>
      <c r="X68" s="273">
        <v>0</v>
      </c>
      <c r="Y68" s="273">
        <v>0</v>
      </c>
    </row>
    <row r="69" spans="3:25" ht="13">
      <c r="C69" s="139"/>
      <c r="D69" s="25"/>
      <c r="E69" s="75">
        <v>5120</v>
      </c>
      <c r="F69" s="131" t="s">
        <v>34</v>
      </c>
      <c r="G69" s="57">
        <f>'Benchmarking Calculations'!F35</f>
        <v>473782</v>
      </c>
      <c r="H69" s="123">
        <f>IFERROR(VLOOKUP($E69,$R$42:$Y$173,3,0),0)</f>
        <v>517478.66320000001</v>
      </c>
      <c r="I69" s="123">
        <f>IFERROR(VLOOKUP($E69,$R$42:$Y$173,4,0),0)</f>
        <v>627499.036464</v>
      </c>
      <c r="J69" s="123">
        <f>IFERROR(VLOOKUP($E69,$R$42:$Y$173,5,0),0)</f>
        <v>639533.66005008004</v>
      </c>
      <c r="K69" s="123">
        <f>IFERROR(VLOOKUP($E69,$R$42:$Y$173,6,0),0)</f>
        <v>652146.73011993174</v>
      </c>
      <c r="L69" s="123">
        <f>IFERROR(VLOOKUP($E69,$R$42:$Y$173,7,0),0)</f>
        <v>665009.96619900863</v>
      </c>
      <c r="M69" s="123">
        <f>IFERROR(VLOOKUP($E69,$R$42:$Y$173,8,0),0)</f>
        <v>678498.52305104025</v>
      </c>
      <c r="N69" s="135"/>
      <c r="R69" s="268">
        <v>5114</v>
      </c>
      <c r="S69" s="269" t="s">
        <v>218</v>
      </c>
      <c r="T69" s="273">
        <v>230166.83599999998</v>
      </c>
      <c r="U69" s="273">
        <v>234742.17272</v>
      </c>
      <c r="V69" s="273">
        <v>239422.4477816</v>
      </c>
      <c r="W69" s="273">
        <v>244406.7935770136</v>
      </c>
      <c r="X69" s="273">
        <v>249495.02717318686</v>
      </c>
      <c r="Y69" s="273">
        <v>254469.68874484685</v>
      </c>
    </row>
    <row r="70" spans="3:25" ht="13">
      <c r="C70" s="139"/>
      <c r="D70" s="25"/>
      <c r="E70" s="75">
        <v>5125</v>
      </c>
      <c r="F70" s="131" t="s">
        <v>35</v>
      </c>
      <c r="G70" s="57">
        <f>'Benchmarking Calculations'!F36</f>
        <v>0</v>
      </c>
      <c r="H70" s="123">
        <f>IFERROR(VLOOKUP($E70,$R$42:$Y$173,3,0),0)</f>
        <v>0</v>
      </c>
      <c r="I70" s="123">
        <f>IFERROR(VLOOKUP($E70,$R$42:$Y$173,4,0),0)</f>
        <v>0</v>
      </c>
      <c r="J70" s="123">
        <f>IFERROR(VLOOKUP($E70,$R$42:$Y$173,5,0),0)</f>
        <v>0</v>
      </c>
      <c r="K70" s="123">
        <f>IFERROR(VLOOKUP($E70,$R$42:$Y$173,6,0),0)</f>
        <v>0</v>
      </c>
      <c r="L70" s="123">
        <f>IFERROR(VLOOKUP($E70,$R$42:$Y$173,7,0),0)</f>
        <v>0</v>
      </c>
      <c r="M70" s="123">
        <f>IFERROR(VLOOKUP($E70,$R$42:$Y$173,8,0),0)</f>
        <v>0</v>
      </c>
      <c r="N70" s="135"/>
      <c r="R70" s="268">
        <v>5120</v>
      </c>
      <c r="S70" s="269" t="s">
        <v>34</v>
      </c>
      <c r="T70" s="273">
        <v>517478.66320000001</v>
      </c>
      <c r="U70" s="273">
        <v>627499.036464</v>
      </c>
      <c r="V70" s="273">
        <v>639533.66005008004</v>
      </c>
      <c r="W70" s="273">
        <v>652146.73011993174</v>
      </c>
      <c r="X70" s="273">
        <v>665009.96619900863</v>
      </c>
      <c r="Y70" s="273">
        <v>678498.52305104025</v>
      </c>
    </row>
    <row r="71" spans="3:25" ht="13">
      <c r="C71" s="139"/>
      <c r="D71" s="25"/>
      <c r="E71" s="75">
        <v>5130</v>
      </c>
      <c r="F71" s="131" t="s">
        <v>36</v>
      </c>
      <c r="G71" s="57">
        <f>'Benchmarking Calculations'!F37</f>
        <v>0</v>
      </c>
      <c r="H71" s="123">
        <f>IFERROR(VLOOKUP($E71,$R$42:$Y$173,3,0),0)</f>
        <v>0</v>
      </c>
      <c r="I71" s="123">
        <f>IFERROR(VLOOKUP($E71,$R$42:$Y$173,4,0),0)</f>
        <v>0</v>
      </c>
      <c r="J71" s="123">
        <f>IFERROR(VLOOKUP($E71,$R$42:$Y$173,5,0),0)</f>
        <v>0</v>
      </c>
      <c r="K71" s="123">
        <f>IFERROR(VLOOKUP($E71,$R$42:$Y$173,6,0),0)</f>
        <v>0</v>
      </c>
      <c r="L71" s="123">
        <f>IFERROR(VLOOKUP($E71,$R$42:$Y$173,7,0),0)</f>
        <v>0</v>
      </c>
      <c r="M71" s="123">
        <f>IFERROR(VLOOKUP($E71,$R$42:$Y$173,8,0),0)</f>
        <v>0</v>
      </c>
      <c r="N71" s="135"/>
      <c r="R71" s="268">
        <v>5125</v>
      </c>
      <c r="S71" s="269" t="s">
        <v>35</v>
      </c>
      <c r="T71" s="273">
        <v>0</v>
      </c>
      <c r="U71" s="273">
        <v>0</v>
      </c>
      <c r="V71" s="273">
        <v>0</v>
      </c>
      <c r="W71" s="273">
        <v>0</v>
      </c>
      <c r="X71" s="273">
        <v>0</v>
      </c>
      <c r="Y71" s="273">
        <v>0</v>
      </c>
    </row>
    <row r="72" spans="3:25" ht="13">
      <c r="C72" s="139"/>
      <c r="D72" s="25"/>
      <c r="E72" s="75">
        <v>5135</v>
      </c>
      <c r="F72" s="131" t="s">
        <v>37</v>
      </c>
      <c r="G72" s="57">
        <f>'Benchmarking Calculations'!F38</f>
        <v>0</v>
      </c>
      <c r="H72" s="123">
        <f>IFERROR(VLOOKUP($E72,$R$42:$Y$173,3,0),0)</f>
        <v>0</v>
      </c>
      <c r="I72" s="123">
        <f>IFERROR(VLOOKUP($E72,$R$42:$Y$173,4,0),0)</f>
        <v>0</v>
      </c>
      <c r="J72" s="123">
        <f>IFERROR(VLOOKUP($E72,$R$42:$Y$173,5,0),0)</f>
        <v>0</v>
      </c>
      <c r="K72" s="123">
        <f>IFERROR(VLOOKUP($E72,$R$42:$Y$173,6,0),0)</f>
        <v>0</v>
      </c>
      <c r="L72" s="123">
        <f>IFERROR(VLOOKUP($E72,$R$42:$Y$173,7,0),0)</f>
        <v>0</v>
      </c>
      <c r="M72" s="123">
        <f>IFERROR(VLOOKUP($E72,$R$42:$Y$173,8,0),0)</f>
        <v>0</v>
      </c>
      <c r="N72" s="135"/>
      <c r="R72" s="268">
        <v>5130</v>
      </c>
      <c r="S72" s="269" t="s">
        <v>36</v>
      </c>
      <c r="T72" s="273">
        <v>0</v>
      </c>
      <c r="U72" s="273">
        <v>0</v>
      </c>
      <c r="V72" s="273">
        <v>0</v>
      </c>
      <c r="W72" s="273">
        <v>0</v>
      </c>
      <c r="X72" s="273">
        <v>0</v>
      </c>
      <c r="Y72" s="273">
        <v>0</v>
      </c>
    </row>
    <row r="73" spans="3:25" ht="13">
      <c r="C73" s="139"/>
      <c r="D73" s="25"/>
      <c r="E73" s="75">
        <v>5145</v>
      </c>
      <c r="F73" s="131" t="s">
        <v>38</v>
      </c>
      <c r="G73" s="57">
        <f>'Benchmarking Calculations'!F39</f>
        <v>263546</v>
      </c>
      <c r="H73" s="123">
        <f>IFERROR(VLOOKUP($E73,$R$42:$Y$173,3,0),0)</f>
        <v>252702.9774</v>
      </c>
      <c r="I73" s="123">
        <f>IFERROR(VLOOKUP($E73,$R$42:$Y$173,4,0),0)</f>
        <v>257931.10894799998</v>
      </c>
      <c r="J73" s="123">
        <f>IFERROR(VLOOKUP($E73,$R$42:$Y$173,5,0),0)</f>
        <v>263288.04432455997</v>
      </c>
      <c r="K73" s="123">
        <f>IFERROR(VLOOKUP($E73,$R$42:$Y$173,6,0),0)</f>
        <v>268926.2502223677</v>
      </c>
      <c r="L73" s="123">
        <f>IFERROR(VLOOKUP($E73,$R$42:$Y$173,7,0),0)</f>
        <v>274678.77526943531</v>
      </c>
      <c r="M73" s="123">
        <f>IFERROR(VLOOKUP($E73,$R$42:$Y$173,8,0),0)</f>
        <v>280364.22522972297</v>
      </c>
      <c r="N73" s="135"/>
      <c r="R73" s="268">
        <v>5135</v>
      </c>
      <c r="S73" s="269" t="s">
        <v>37</v>
      </c>
      <c r="T73" s="273">
        <v>0</v>
      </c>
      <c r="U73" s="273">
        <v>0</v>
      </c>
      <c r="V73" s="273">
        <v>0</v>
      </c>
      <c r="W73" s="273">
        <v>0</v>
      </c>
      <c r="X73" s="273">
        <v>0</v>
      </c>
      <c r="Y73" s="273">
        <v>0</v>
      </c>
    </row>
    <row r="74" spans="3:25" ht="13">
      <c r="C74" s="139"/>
      <c r="D74" s="25"/>
      <c r="E74" s="75">
        <v>5150</v>
      </c>
      <c r="F74" s="131" t="s">
        <v>39</v>
      </c>
      <c r="G74" s="57">
        <f>'Benchmarking Calculations'!F40</f>
        <v>0</v>
      </c>
      <c r="H74" s="123">
        <f>IFERROR(VLOOKUP($E74,$R$42:$Y$173,3,0),0)</f>
        <v>0</v>
      </c>
      <c r="I74" s="123">
        <f>IFERROR(VLOOKUP($E74,$R$42:$Y$173,4,0),0)</f>
        <v>0</v>
      </c>
      <c r="J74" s="123">
        <f>IFERROR(VLOOKUP($E74,$R$42:$Y$173,5,0),0)</f>
        <v>0</v>
      </c>
      <c r="K74" s="123">
        <f>IFERROR(VLOOKUP($E74,$R$42:$Y$173,6,0),0)</f>
        <v>0</v>
      </c>
      <c r="L74" s="123">
        <f>IFERROR(VLOOKUP($E74,$R$42:$Y$173,7,0),0)</f>
        <v>0</v>
      </c>
      <c r="M74" s="123">
        <f>IFERROR(VLOOKUP($E74,$R$42:$Y$173,8,0),0)</f>
        <v>0</v>
      </c>
      <c r="N74" s="135"/>
      <c r="R74" s="268">
        <v>5145</v>
      </c>
      <c r="S74" s="269" t="s">
        <v>38</v>
      </c>
      <c r="T74" s="273">
        <v>252702.9774</v>
      </c>
      <c r="U74" s="273">
        <v>257931.10894799998</v>
      </c>
      <c r="V74" s="273">
        <v>263288.04432455997</v>
      </c>
      <c r="W74" s="273">
        <v>268926.2502223677</v>
      </c>
      <c r="X74" s="273">
        <v>274678.77526943531</v>
      </c>
      <c r="Y74" s="273">
        <v>280364.22522972297</v>
      </c>
    </row>
    <row r="75" spans="3:25" ht="13">
      <c r="C75" s="139"/>
      <c r="D75" s="25"/>
      <c r="E75" s="75">
        <v>5155</v>
      </c>
      <c r="F75" s="131" t="s">
        <v>40</v>
      </c>
      <c r="G75" s="57">
        <f>'Benchmarking Calculations'!F41</f>
        <v>53728</v>
      </c>
      <c r="H75" s="123">
        <f>IFERROR(VLOOKUP($E75,$R$42:$Y$173,3,0),0)</f>
        <v>54802.611000000004</v>
      </c>
      <c r="I75" s="123">
        <f>IFERROR(VLOOKUP($E75,$R$42:$Y$173,4,0),0)</f>
        <v>55898.663220000002</v>
      </c>
      <c r="J75" s="123">
        <f>IFERROR(VLOOKUP($E75,$R$42:$Y$173,5,0),0)</f>
        <v>57016.636484400005</v>
      </c>
      <c r="K75" s="123">
        <f>IFERROR(VLOOKUP($E75,$R$42:$Y$173,6,0),0)</f>
        <v>58213.985850572404</v>
      </c>
      <c r="L75" s="123">
        <f>IFERROR(VLOOKUP($E75,$R$42:$Y$173,7,0),0)</f>
        <v>59436.479553434423</v>
      </c>
      <c r="M75" s="123">
        <f>IFERROR(VLOOKUP($E75,$R$42:$Y$173,8,0),0)</f>
        <v>60625.209144503111</v>
      </c>
      <c r="N75" s="135"/>
      <c r="R75" s="268">
        <v>5150</v>
      </c>
      <c r="S75" s="269" t="s">
        <v>39</v>
      </c>
      <c r="T75" s="273">
        <v>0</v>
      </c>
      <c r="U75" s="273">
        <v>0</v>
      </c>
      <c r="V75" s="273">
        <v>0</v>
      </c>
      <c r="W75" s="273">
        <v>0</v>
      </c>
      <c r="X75" s="273">
        <v>0</v>
      </c>
      <c r="Y75" s="273">
        <v>0</v>
      </c>
    </row>
    <row r="76" spans="3:25" ht="13">
      <c r="C76" s="139"/>
      <c r="D76" s="25"/>
      <c r="E76" s="75">
        <v>5160</v>
      </c>
      <c r="F76" s="131" t="s">
        <v>41</v>
      </c>
      <c r="G76" s="57">
        <f>'Benchmarking Calculations'!F42</f>
        <v>0</v>
      </c>
      <c r="H76" s="123">
        <f>IFERROR(VLOOKUP($E76,$R$42:$Y$173,3,0),0)</f>
        <v>0</v>
      </c>
      <c r="I76" s="123">
        <f>IFERROR(VLOOKUP($E76,$R$42:$Y$173,4,0),0)</f>
        <v>0</v>
      </c>
      <c r="J76" s="123">
        <f>IFERROR(VLOOKUP($E76,$R$42:$Y$173,5,0),0)</f>
        <v>0</v>
      </c>
      <c r="K76" s="123">
        <f>IFERROR(VLOOKUP($E76,$R$42:$Y$173,6,0),0)</f>
        <v>0</v>
      </c>
      <c r="L76" s="123">
        <f>IFERROR(VLOOKUP($E76,$R$42:$Y$173,7,0),0)</f>
        <v>0</v>
      </c>
      <c r="M76" s="123">
        <f>IFERROR(VLOOKUP($E76,$R$42:$Y$173,8,0),0)</f>
        <v>0</v>
      </c>
      <c r="N76" s="135"/>
      <c r="R76" s="268">
        <v>5155</v>
      </c>
      <c r="S76" s="269" t="s">
        <v>40</v>
      </c>
      <c r="T76" s="273">
        <v>54802.611000000004</v>
      </c>
      <c r="U76" s="273">
        <v>55898.663220000002</v>
      </c>
      <c r="V76" s="273">
        <v>57016.636484400005</v>
      </c>
      <c r="W76" s="273">
        <v>58213.985850572404</v>
      </c>
      <c r="X76" s="273">
        <v>59436.479553434423</v>
      </c>
      <c r="Y76" s="273">
        <v>60625.209144503111</v>
      </c>
    </row>
    <row r="77" spans="3:25" ht="13">
      <c r="C77" s="139"/>
      <c r="D77" s="25"/>
      <c r="E77" s="106">
        <v>5175</v>
      </c>
      <c r="F77" s="149" t="s">
        <v>42</v>
      </c>
      <c r="G77" s="107">
        <f>'Benchmarking Calculations'!F43</f>
        <v>0</v>
      </c>
      <c r="H77" s="123">
        <f>IFERROR(VLOOKUP($E77,$R$42:$Y$173,3,0),0)</f>
        <v>0</v>
      </c>
      <c r="I77" s="123">
        <f>IFERROR(VLOOKUP($E77,$R$42:$Y$173,4,0),0)</f>
        <v>0</v>
      </c>
      <c r="J77" s="123">
        <f>IFERROR(VLOOKUP($E77,$R$42:$Y$173,5,0),0)</f>
        <v>0</v>
      </c>
      <c r="K77" s="123">
        <f>IFERROR(VLOOKUP($E77,$R$42:$Y$173,6,0),0)</f>
        <v>0</v>
      </c>
      <c r="L77" s="123">
        <f>IFERROR(VLOOKUP($E77,$R$42:$Y$173,7,0),0)</f>
        <v>0</v>
      </c>
      <c r="M77" s="123">
        <f>IFERROR(VLOOKUP($E77,$R$42:$Y$173,8,0),0)</f>
        <v>0</v>
      </c>
      <c r="N77" s="135"/>
      <c r="R77" s="268">
        <v>5160</v>
      </c>
      <c r="S77" s="269" t="s">
        <v>41</v>
      </c>
      <c r="T77" s="273">
        <v>0</v>
      </c>
      <c r="U77" s="273">
        <v>0</v>
      </c>
      <c r="V77" s="273">
        <v>0</v>
      </c>
      <c r="W77" s="273">
        <v>0</v>
      </c>
      <c r="X77" s="273">
        <v>0</v>
      </c>
      <c r="Y77" s="273">
        <v>0</v>
      </c>
    </row>
    <row r="78" spans="3:25" ht="13">
      <c r="C78" s="139"/>
      <c r="D78" s="25"/>
      <c r="E78" s="15"/>
      <c r="F78" s="77" t="s">
        <v>43</v>
      </c>
      <c r="G78" s="105">
        <f>'Benchmarking Calculations'!F44</f>
        <v>1019828</v>
      </c>
      <c r="H78" s="78">
        <f>SUM(H65:H77)</f>
        <v>1206635.0581760001</v>
      </c>
      <c r="I78" s="78">
        <f t="shared" si="21" ref="I78:M78">SUM(I65:I77)</f>
        <v>1313347.85151936</v>
      </c>
      <c r="J78" s="78">
        <f>SUM(J65:J77)</f>
        <v>1339296.9440977471</v>
      </c>
      <c r="K78" s="78">
        <f>SUM(K65:K77)</f>
        <v>1366682.6445016719</v>
      </c>
      <c r="L78" s="78">
        <f>SUM(L65:L77)</f>
        <v>1394624.1089165008</v>
      </c>
      <c r="M78" s="78">
        <f>SUM(M65:M77)</f>
        <v>1423338.3097637883</v>
      </c>
      <c r="N78" s="140" t="s">
        <v>29</v>
      </c>
      <c r="R78" s="268">
        <v>5165</v>
      </c>
      <c r="S78" s="269" t="s">
        <v>219</v>
      </c>
      <c r="T78" s="273">
        <v>0</v>
      </c>
      <c r="U78" s="273">
        <v>0</v>
      </c>
      <c r="V78" s="273">
        <v>0</v>
      </c>
      <c r="W78" s="273">
        <v>0</v>
      </c>
      <c r="X78" s="273">
        <v>0</v>
      </c>
      <c r="Y78" s="273">
        <v>0</v>
      </c>
    </row>
    <row r="79" spans="3:25" ht="13">
      <c r="C79" s="139"/>
      <c r="D79" s="25"/>
      <c r="E79" s="75">
        <v>5305</v>
      </c>
      <c r="F79" s="75" t="s">
        <v>44</v>
      </c>
      <c r="G79" s="57">
        <f>'Benchmarking Calculations'!F45</f>
        <v>146431.22</v>
      </c>
      <c r="H79" s="123">
        <f t="shared" si="22" ref="H79:H85">IFERROR(VLOOKUP($E79,$R$42:$Y$173,3,0),0)</f>
        <v>141910.08800000002</v>
      </c>
      <c r="I79" s="123">
        <f t="shared" si="23" ref="I79:I85">IFERROR(VLOOKUP($E79,$R$42:$Y$173,4,0),0)</f>
        <v>145880.26066636801</v>
      </c>
      <c r="J79" s="123">
        <f t="shared" si="24" ref="J79:J85">IFERROR(VLOOKUP($E79,$R$42:$Y$173,5,0),0)</f>
        <v>148818.23039389536</v>
      </c>
      <c r="K79" s="123">
        <f t="shared" si="25" ref="K79:K85">IFERROR(VLOOKUP($E79,$R$42:$Y$173,6,0),0)</f>
        <v>151946.83323504718</v>
      </c>
      <c r="L79" s="123">
        <f t="shared" si="26" ref="L79:L85">IFERROR(VLOOKUP($E79,$R$42:$Y$173,7,0),0)</f>
        <v>155141.20513592073</v>
      </c>
      <c r="M79" s="123">
        <f t="shared" si="27" ref="M79:M85">IFERROR(VLOOKUP($E79,$R$42:$Y$173,8,0),0)</f>
        <v>158388.54145598883</v>
      </c>
      <c r="N79" s="135"/>
      <c r="R79" s="268">
        <v>5170</v>
      </c>
      <c r="S79" s="269" t="s">
        <v>220</v>
      </c>
      <c r="T79" s="273">
        <v>0</v>
      </c>
      <c r="U79" s="273">
        <v>0</v>
      </c>
      <c r="V79" s="273">
        <v>0</v>
      </c>
      <c r="W79" s="273">
        <v>0</v>
      </c>
      <c r="X79" s="273">
        <v>0</v>
      </c>
      <c r="Y79" s="273">
        <v>0</v>
      </c>
    </row>
    <row r="80" spans="3:25" ht="13">
      <c r="C80" s="139"/>
      <c r="D80" s="25"/>
      <c r="E80" s="75">
        <v>5310</v>
      </c>
      <c r="F80" s="75" t="s">
        <v>45</v>
      </c>
      <c r="G80" s="57">
        <f>'Benchmarking Calculations'!F46</f>
        <v>442134</v>
      </c>
      <c r="H80" s="123">
        <f>IFERROR(VLOOKUP($E80,$R$42:$Y$173,3,0),0)</f>
        <v>460293.50321600004</v>
      </c>
      <c r="I80" s="123">
        <f>IFERROR(VLOOKUP($E80,$R$42:$Y$173,4,0),0)</f>
        <v>469314.25168031995</v>
      </c>
      <c r="J80" s="123">
        <f>IFERROR(VLOOKUP($E80,$R$42:$Y$173,5,0),0)</f>
        <v>432164.12280332652</v>
      </c>
      <c r="K80" s="123">
        <f>IFERROR(VLOOKUP($E80,$R$42:$Y$173,6,0),0)</f>
        <v>440958.64045245881</v>
      </c>
      <c r="L80" s="123">
        <f>IFERROR(VLOOKUP($E80,$R$42:$Y$173,7,0),0)</f>
        <v>449932.79993149906</v>
      </c>
      <c r="M80" s="123">
        <f>IFERROR(VLOOKUP($E80,$R$42:$Y$173,8,0),0)</f>
        <v>459039.66084684909</v>
      </c>
      <c r="N80" s="135"/>
      <c r="R80" s="268">
        <v>5172</v>
      </c>
      <c r="S80" s="269" t="s">
        <v>221</v>
      </c>
      <c r="T80" s="273">
        <v>0</v>
      </c>
      <c r="U80" s="273">
        <v>0</v>
      </c>
      <c r="V80" s="273">
        <v>0</v>
      </c>
      <c r="W80" s="273">
        <v>0</v>
      </c>
      <c r="X80" s="273">
        <v>0</v>
      </c>
      <c r="Y80" s="273">
        <v>0</v>
      </c>
    </row>
    <row r="81" spans="3:25" ht="13">
      <c r="C81" s="139"/>
      <c r="D81" s="25"/>
      <c r="E81" s="75">
        <v>5315</v>
      </c>
      <c r="F81" s="75" t="s">
        <v>46</v>
      </c>
      <c r="G81" s="57">
        <f>'Benchmarking Calculations'!F47</f>
        <v>1138471</v>
      </c>
      <c r="H81" s="123">
        <f>IFERROR(VLOOKUP($E81,$R$42:$Y$173,3,0),0)</f>
        <v>1205196.2948019998</v>
      </c>
      <c r="I81" s="123">
        <f>IFERROR(VLOOKUP($E81,$R$42:$Y$173,4,0),0)</f>
        <v>1228072.22069804</v>
      </c>
      <c r="J81" s="123">
        <f>IFERROR(VLOOKUP($E81,$R$42:$Y$173,5,0),0)</f>
        <v>1251894.8432928007</v>
      </c>
      <c r="K81" s="123">
        <f>IFERROR(VLOOKUP($E81,$R$42:$Y$173,6,0),0)</f>
        <v>1276279.1461968296</v>
      </c>
      <c r="L81" s="123">
        <f>IFERROR(VLOOKUP($E81,$R$42:$Y$173,7,0),0)</f>
        <v>1301141.2275033565</v>
      </c>
      <c r="M81" s="123">
        <f>IFERROR(VLOOKUP($E81,$R$42:$Y$173,8,0),0)</f>
        <v>1326490.5034403817</v>
      </c>
      <c r="N81" s="135"/>
      <c r="R81" s="268">
        <v>5175</v>
      </c>
      <c r="S81" s="269" t="s">
        <v>42</v>
      </c>
      <c r="T81" s="273">
        <v>0</v>
      </c>
      <c r="U81" s="273">
        <v>0</v>
      </c>
      <c r="V81" s="273">
        <v>0</v>
      </c>
      <c r="W81" s="273">
        <v>0</v>
      </c>
      <c r="X81" s="273">
        <v>0</v>
      </c>
      <c r="Y81" s="273">
        <v>0</v>
      </c>
    </row>
    <row r="82" spans="3:25" ht="13">
      <c r="C82" s="139"/>
      <c r="D82" s="25"/>
      <c r="E82" s="75">
        <v>5320</v>
      </c>
      <c r="F82" s="75" t="s">
        <v>47</v>
      </c>
      <c r="G82" s="57">
        <f>'Benchmarking Calculations'!F48</f>
        <v>197590.67999999999</v>
      </c>
      <c r="H82" s="123">
        <f>IFERROR(VLOOKUP($E82,$R$42:$Y$173,3,0),0)</f>
        <v>269097.77480199997</v>
      </c>
      <c r="I82" s="123">
        <f>IFERROR(VLOOKUP($E82,$R$42:$Y$173,4,0),0)</f>
        <v>274283.03029804002</v>
      </c>
      <c r="J82" s="123">
        <f>IFERROR(VLOOKUP($E82,$R$42:$Y$173,5,0),0)</f>
        <v>279650.87499440083</v>
      </c>
      <c r="K82" s="123">
        <f>IFERROR(VLOOKUP($E82,$R$42:$Y$173,6,0),0)</f>
        <v>285221.19597596314</v>
      </c>
      <c r="L82" s="123">
        <f>IFERROR(VLOOKUP($E82,$R$42:$Y$173,7,0),0)</f>
        <v>290903.05828506441</v>
      </c>
      <c r="M82" s="123">
        <f>IFERROR(VLOOKUP($E82,$R$42:$Y$173,8,0),0)</f>
        <v>296698.70658894762</v>
      </c>
      <c r="N82" s="135"/>
      <c r="R82" s="268">
        <v>5178</v>
      </c>
      <c r="S82" s="269" t="s">
        <v>222</v>
      </c>
      <c r="T82" s="273">
        <v>0</v>
      </c>
      <c r="U82" s="273">
        <v>0</v>
      </c>
      <c r="V82" s="273">
        <v>0</v>
      </c>
      <c r="W82" s="273">
        <v>0</v>
      </c>
      <c r="X82" s="273">
        <v>0</v>
      </c>
      <c r="Y82" s="273">
        <v>0</v>
      </c>
    </row>
    <row r="83" spans="3:25" ht="13">
      <c r="C83" s="139"/>
      <c r="D83" s="25"/>
      <c r="E83" s="75">
        <v>5325</v>
      </c>
      <c r="F83" s="75" t="s">
        <v>48</v>
      </c>
      <c r="G83" s="57">
        <f>'Benchmarking Calculations'!F49</f>
        <v>0</v>
      </c>
      <c r="H83" s="123">
        <f>IFERROR(VLOOKUP($E83,$R$42:$Y$173,3,0),0)</f>
        <v>0</v>
      </c>
      <c r="I83" s="123">
        <f>IFERROR(VLOOKUP($E83,$R$42:$Y$173,4,0),0)</f>
        <v>0</v>
      </c>
      <c r="J83" s="123">
        <f>IFERROR(VLOOKUP($E83,$R$42:$Y$173,5,0),0)</f>
        <v>0</v>
      </c>
      <c r="K83" s="123">
        <f>IFERROR(VLOOKUP($E83,$R$42:$Y$173,6,0),0)</f>
        <v>0</v>
      </c>
      <c r="L83" s="123">
        <f>IFERROR(VLOOKUP($E83,$R$42:$Y$173,7,0),0)</f>
        <v>0</v>
      </c>
      <c r="M83" s="123">
        <f>IFERROR(VLOOKUP($E83,$R$42:$Y$173,8,0),0)</f>
        <v>0</v>
      </c>
      <c r="N83" s="135"/>
      <c r="R83" s="268">
        <v>5195</v>
      </c>
      <c r="S83" s="269" t="s">
        <v>223</v>
      </c>
      <c r="T83" s="273">
        <v>0</v>
      </c>
      <c r="U83" s="273">
        <v>0</v>
      </c>
      <c r="V83" s="273">
        <v>0</v>
      </c>
      <c r="W83" s="273">
        <v>0</v>
      </c>
      <c r="X83" s="273">
        <v>0</v>
      </c>
      <c r="Y83" s="273">
        <v>0</v>
      </c>
    </row>
    <row r="84" spans="3:25" ht="13">
      <c r="C84" s="139"/>
      <c r="D84" s="25"/>
      <c r="E84" s="75">
        <v>5330</v>
      </c>
      <c r="F84" s="75" t="s">
        <v>49</v>
      </c>
      <c r="G84" s="57">
        <f>'Benchmarking Calculations'!F50</f>
        <v>0</v>
      </c>
      <c r="H84" s="123">
        <f>IFERROR(VLOOKUP($E84,$R$42:$Y$173,3,0),0)</f>
        <v>0</v>
      </c>
      <c r="I84" s="123">
        <f>IFERROR(VLOOKUP($E84,$R$42:$Y$173,4,0),0)</f>
        <v>0</v>
      </c>
      <c r="J84" s="123">
        <f>IFERROR(VLOOKUP($E84,$R$42:$Y$173,5,0),0)</f>
        <v>0</v>
      </c>
      <c r="K84" s="123">
        <f>IFERROR(VLOOKUP($E84,$R$42:$Y$173,6,0),0)</f>
        <v>0</v>
      </c>
      <c r="L84" s="123">
        <f>IFERROR(VLOOKUP($E84,$R$42:$Y$173,7,0),0)</f>
        <v>0</v>
      </c>
      <c r="M84" s="123">
        <f>IFERROR(VLOOKUP($E84,$R$42:$Y$173,8,0),0)</f>
        <v>0</v>
      </c>
      <c r="N84" s="135"/>
      <c r="R84" s="266"/>
      <c r="S84" s="267" t="s">
        <v>224</v>
      </c>
      <c r="T84" s="273"/>
      <c r="U84" s="273"/>
      <c r="V84" s="273"/>
      <c r="W84" s="273"/>
      <c r="X84" s="273"/>
      <c r="Y84" s="273"/>
    </row>
    <row r="85" spans="3:25" ht="13">
      <c r="C85" s="139"/>
      <c r="D85" s="25"/>
      <c r="E85" s="106">
        <v>5340</v>
      </c>
      <c r="F85" s="106" t="s">
        <v>50</v>
      </c>
      <c r="G85" s="107">
        <f>'Benchmarking Calculations'!F51</f>
        <v>0</v>
      </c>
      <c r="H85" s="123">
        <f>IFERROR(VLOOKUP($E85,$R$42:$Y$173,3,0),0)</f>
        <v>0</v>
      </c>
      <c r="I85" s="123">
        <f>IFERROR(VLOOKUP($E85,$R$42:$Y$173,4,0),0)</f>
        <v>0</v>
      </c>
      <c r="J85" s="123">
        <f>IFERROR(VLOOKUP($E85,$R$42:$Y$173,5,0),0)</f>
        <v>0</v>
      </c>
      <c r="K85" s="123">
        <f>IFERROR(VLOOKUP($E85,$R$42:$Y$173,6,0),0)</f>
        <v>0</v>
      </c>
      <c r="L85" s="123">
        <f>IFERROR(VLOOKUP($E85,$R$42:$Y$173,7,0),0)</f>
        <v>0</v>
      </c>
      <c r="M85" s="123">
        <f>IFERROR(VLOOKUP($E85,$R$42:$Y$173,8,0),0)</f>
        <v>0</v>
      </c>
      <c r="N85" s="135"/>
      <c r="R85" s="268">
        <v>5205</v>
      </c>
      <c r="S85" s="269" t="s">
        <v>225</v>
      </c>
      <c r="T85" s="273">
        <v>0</v>
      </c>
      <c r="U85" s="273">
        <v>0</v>
      </c>
      <c r="V85" s="273">
        <v>0</v>
      </c>
      <c r="W85" s="273">
        <v>0</v>
      </c>
      <c r="X85" s="273">
        <v>0</v>
      </c>
      <c r="Y85" s="273">
        <v>0</v>
      </c>
    </row>
    <row r="86" spans="3:25" ht="13">
      <c r="C86" s="139"/>
      <c r="D86" s="25"/>
      <c r="E86" s="15"/>
      <c r="F86" s="77" t="s">
        <v>51</v>
      </c>
      <c r="G86" s="105">
        <f>'Benchmarking Calculations'!F52</f>
        <v>1924626.8999999999</v>
      </c>
      <c r="H86" s="78">
        <f>SUM(H79:H85)</f>
        <v>2076497.6608199999</v>
      </c>
      <c r="I86" s="78">
        <f t="shared" si="28" ref="I86:M86">SUM(I79:I85)</f>
        <v>2117549.763342768</v>
      </c>
      <c r="J86" s="78">
        <f>SUM(J79:J85)</f>
        <v>2112528.0714844232</v>
      </c>
      <c r="K86" s="78">
        <f>SUM(K79:K85)</f>
        <v>2154405.8158602989</v>
      </c>
      <c r="L86" s="78">
        <f>SUM(L79:L85)</f>
        <v>2197118.2908558408</v>
      </c>
      <c r="M86" s="78">
        <f>SUM(M79:M85)</f>
        <v>2240617.4123321674</v>
      </c>
      <c r="N86" s="140" t="s">
        <v>29</v>
      </c>
      <c r="R86" s="268">
        <v>5210</v>
      </c>
      <c r="S86" s="269" t="s">
        <v>226</v>
      </c>
      <c r="T86" s="273">
        <v>0</v>
      </c>
      <c r="U86" s="273">
        <v>0</v>
      </c>
      <c r="V86" s="273">
        <v>0</v>
      </c>
      <c r="W86" s="273">
        <v>0</v>
      </c>
      <c r="X86" s="273">
        <v>0</v>
      </c>
      <c r="Y86" s="273">
        <v>0</v>
      </c>
    </row>
    <row r="87" spans="3:25" ht="13">
      <c r="C87" s="139"/>
      <c r="D87" s="25"/>
      <c r="E87" s="75">
        <v>5405</v>
      </c>
      <c r="F87" s="75" t="s">
        <v>52</v>
      </c>
      <c r="G87" s="57">
        <f>'Benchmarking Calculations'!F53</f>
        <v>142301.87</v>
      </c>
      <c r="H87" s="123">
        <f t="shared" si="29" ref="H87:H90">IFERROR(VLOOKUP($E87,$R$42:$Y$173,3,0),0)</f>
        <v>157586.25247840004</v>
      </c>
      <c r="I87" s="123">
        <f t="shared" si="30" ref="I87:I90">IFERROR(VLOOKUP($E87,$R$42:$Y$173,4,0),0)</f>
        <v>160737.977527968</v>
      </c>
      <c r="J87" s="123">
        <f t="shared" si="31" ref="J87:J90">IFERROR(VLOOKUP($E87,$R$42:$Y$173,5,0),0)</f>
        <v>163973.0198193274</v>
      </c>
      <c r="K87" s="123">
        <f t="shared" si="32" ref="K87:K90">IFERROR(VLOOKUP($E87,$R$42:$Y$173,6,0),0)</f>
        <v>167419.87323841319</v>
      </c>
      <c r="L87" s="123">
        <f t="shared" si="33" ref="L87:L90">IFERROR(VLOOKUP($E87,$R$42:$Y$173,7,0),0)</f>
        <v>170939.17897935747</v>
      </c>
      <c r="M87" s="123">
        <f t="shared" si="34" ref="M87:M90">IFERROR(VLOOKUP($E87,$R$42:$Y$173,8,0),0)</f>
        <v>174537.12306424862</v>
      </c>
      <c r="N87" s="135"/>
      <c r="R87" s="268">
        <v>5215</v>
      </c>
      <c r="S87" s="269" t="s">
        <v>227</v>
      </c>
      <c r="T87" s="273">
        <v>0</v>
      </c>
      <c r="U87" s="273">
        <v>0</v>
      </c>
      <c r="V87" s="273">
        <v>0</v>
      </c>
      <c r="W87" s="273">
        <v>0</v>
      </c>
      <c r="X87" s="273">
        <v>0</v>
      </c>
      <c r="Y87" s="273">
        <v>0</v>
      </c>
    </row>
    <row r="88" spans="3:25" ht="13">
      <c r="C88" s="139"/>
      <c r="D88" s="25"/>
      <c r="E88" s="75">
        <v>5410</v>
      </c>
      <c r="F88" s="75" t="s">
        <v>53</v>
      </c>
      <c r="G88" s="57">
        <f>'Benchmarking Calculations'!F54</f>
        <v>174481</v>
      </c>
      <c r="H88" s="123">
        <f>IFERROR(VLOOKUP($E88,$R$42:$Y$173,3,0),0)</f>
        <v>197191.07000000004</v>
      </c>
      <c r="I88" s="123">
        <f>IFERROR(VLOOKUP($E88,$R$42:$Y$173,4,0),0)</f>
        <v>190417.42019501602</v>
      </c>
      <c r="J88" s="123">
        <f>IFERROR(VLOOKUP($E88,$R$42:$Y$173,5,0),0)</f>
        <v>194214.38278551635</v>
      </c>
      <c r="K88" s="123">
        <f>IFERROR(VLOOKUP($E88,$R$42:$Y$173,6,0),0)</f>
        <v>198179.34654384095</v>
      </c>
      <c r="L88" s="123">
        <f>IFERROR(VLOOKUP($E88,$R$42:$Y$173,7,0),0)</f>
        <v>202225.53769205307</v>
      </c>
      <c r="M88" s="123">
        <f>IFERROR(VLOOKUP($E88,$R$42:$Y$173,8,0),0)</f>
        <v>206354.62547885781</v>
      </c>
      <c r="N88" s="135"/>
      <c r="R88" s="266"/>
      <c r="S88" s="267" t="s">
        <v>228</v>
      </c>
      <c r="T88" s="273"/>
      <c r="U88" s="273"/>
      <c r="V88" s="273"/>
      <c r="W88" s="273"/>
      <c r="X88" s="273"/>
      <c r="Y88" s="273"/>
    </row>
    <row r="89" spans="3:25" ht="13">
      <c r="C89" s="139"/>
      <c r="D89" s="25"/>
      <c r="E89" s="75">
        <v>5420</v>
      </c>
      <c r="F89" s="75" t="s">
        <v>54</v>
      </c>
      <c r="G89" s="57">
        <f>'Benchmarking Calculations'!F55</f>
        <v>141415.26000000001</v>
      </c>
      <c r="H89" s="123">
        <f>IFERROR(VLOOKUP($E89,$R$42:$Y$173,3,0),0)</f>
        <v>148923.61000000002</v>
      </c>
      <c r="I89" s="123">
        <f>IFERROR(VLOOKUP($E89,$R$42:$Y$173,4,0),0)</f>
        <v>189161.40720000002</v>
      </c>
      <c r="J89" s="123">
        <f>IFERROR(VLOOKUP($E89,$R$42:$Y$173,5,0),0)</f>
        <v>193060.81689359996</v>
      </c>
      <c r="K89" s="123">
        <f>IFERROR(VLOOKUP($E89,$R$42:$Y$173,6,0),0)</f>
        <v>197118.51405124564</v>
      </c>
      <c r="L89" s="123">
        <f>IFERROR(VLOOKUP($E89,$R$42:$Y$173,7,0),0)</f>
        <v>201261.49124925933</v>
      </c>
      <c r="M89" s="123">
        <f>IFERROR(VLOOKUP($E89,$R$42:$Y$173,8,0),0)</f>
        <v>205505.45875195097</v>
      </c>
      <c r="N89" s="135"/>
      <c r="R89" s="268">
        <v>5305</v>
      </c>
      <c r="S89" s="269" t="s">
        <v>229</v>
      </c>
      <c r="T89" s="273">
        <v>141910.08800000002</v>
      </c>
      <c r="U89" s="273">
        <v>145880.26066636801</v>
      </c>
      <c r="V89" s="273">
        <v>148818.23039389536</v>
      </c>
      <c r="W89" s="273">
        <v>151946.83323504718</v>
      </c>
      <c r="X89" s="273">
        <v>155141.20513592073</v>
      </c>
      <c r="Y89" s="273">
        <v>158388.54145598883</v>
      </c>
    </row>
    <row r="90" spans="3:25" ht="13">
      <c r="C90" s="139"/>
      <c r="D90" s="25"/>
      <c r="E90" s="106">
        <v>5425</v>
      </c>
      <c r="F90" s="106" t="s">
        <v>55</v>
      </c>
      <c r="G90" s="107">
        <f>'Benchmarking Calculations'!F56</f>
        <v>693492.25</v>
      </c>
      <c r="H90" s="123">
        <f>IFERROR(VLOOKUP($E90,$R$42:$Y$173,3,0),0)</f>
        <v>869886.69956000021</v>
      </c>
      <c r="I90" s="123">
        <f>IFERROR(VLOOKUP($E90,$R$42:$Y$173,4,0),0)</f>
        <v>887263.43355119997</v>
      </c>
      <c r="J90" s="123">
        <f>IFERROR(VLOOKUP($E90,$R$42:$Y$173,5,0),0)</f>
        <v>905101.08428162395</v>
      </c>
      <c r="K90" s="123">
        <f>IFERROR(VLOOKUP($E90,$R$42:$Y$173,6,0),0)</f>
        <v>924099.50286569796</v>
      </c>
      <c r="L90" s="123">
        <f>IFERROR(VLOOKUP($E90,$R$42:$Y$173,7,0),0)</f>
        <v>943496.7794447327</v>
      </c>
      <c r="M90" s="123">
        <f>IFERROR(VLOOKUP($E90,$R$42:$Y$173,8,0),0)</f>
        <v>963301.2890359083</v>
      </c>
      <c r="N90" s="135"/>
      <c r="R90" s="268">
        <v>5310</v>
      </c>
      <c r="S90" s="269" t="s">
        <v>45</v>
      </c>
      <c r="T90" s="273">
        <v>460293.50321600004</v>
      </c>
      <c r="U90" s="273">
        <v>469314.25168031995</v>
      </c>
      <c r="V90" s="273">
        <v>432164.12280332652</v>
      </c>
      <c r="W90" s="273">
        <v>440958.64045245881</v>
      </c>
      <c r="X90" s="273">
        <v>449932.79993149906</v>
      </c>
      <c r="Y90" s="273">
        <v>459039.66084684909</v>
      </c>
    </row>
    <row r="91" spans="3:25" ht="13">
      <c r="C91" s="139"/>
      <c r="D91" s="25"/>
      <c r="E91" s="15"/>
      <c r="F91" s="77" t="s">
        <v>56</v>
      </c>
      <c r="G91" s="105">
        <f>'Benchmarking Calculations'!F57</f>
        <v>1151690.3799999999</v>
      </c>
      <c r="H91" s="78">
        <f>SUM(H87:H90)</f>
        <v>1373587.6320384003</v>
      </c>
      <c r="I91" s="78">
        <f t="shared" si="35" ref="I91:M91">SUM(I87:I90)</f>
        <v>1427580.238474184</v>
      </c>
      <c r="J91" s="78">
        <f>SUM(J87:J90)</f>
        <v>1456349.3037800677</v>
      </c>
      <c r="K91" s="78">
        <f>SUM(K87:K90)</f>
        <v>1486817.2366991977</v>
      </c>
      <c r="L91" s="78">
        <f>SUM(L87:L90)</f>
        <v>1517922.9873654025</v>
      </c>
      <c r="M91" s="78">
        <f>SUM(M87:M90)</f>
        <v>1549698.4963309658</v>
      </c>
      <c r="N91" s="140" t="s">
        <v>29</v>
      </c>
      <c r="R91" s="268">
        <v>5315</v>
      </c>
      <c r="S91" s="269" t="s">
        <v>46</v>
      </c>
      <c r="T91" s="273">
        <v>1205196.2948019998</v>
      </c>
      <c r="U91" s="273">
        <v>1228072.22069804</v>
      </c>
      <c r="V91" s="273">
        <v>1251894.8432928007</v>
      </c>
      <c r="W91" s="273">
        <v>1276279.1461968296</v>
      </c>
      <c r="X91" s="273">
        <v>1301141.2275033565</v>
      </c>
      <c r="Y91" s="273">
        <v>1326490.5034403817</v>
      </c>
    </row>
    <row r="92" spans="3:25" ht="13">
      <c r="C92" s="139"/>
      <c r="D92" s="25"/>
      <c r="E92" s="75">
        <v>5605</v>
      </c>
      <c r="F92" s="75" t="s">
        <v>57</v>
      </c>
      <c r="G92" s="57">
        <f>'Benchmarking Calculations'!F58</f>
        <v>995134.21999999997</v>
      </c>
      <c r="H92" s="123">
        <f t="shared" si="36" ref="H92:H108">IFERROR(VLOOKUP($E92,$R$42:$Y$173,3,0),0)</f>
        <v>955092.75999999989</v>
      </c>
      <c r="I92" s="123">
        <f t="shared" si="37" ref="I92:I108">IFERROR(VLOOKUP($E92,$R$42:$Y$173,4,0),0)</f>
        <v>896530.67279999983</v>
      </c>
      <c r="J92" s="123">
        <f t="shared" si="38" ref="J92:J108">IFERROR(VLOOKUP($E92,$R$42:$Y$173,5,0),0)</f>
        <v>914906.82050160039</v>
      </c>
      <c r="K92" s="123">
        <f t="shared" si="39" ref="K92:K108">IFERROR(VLOOKUP($E92,$R$42:$Y$173,6,0),0)</f>
        <v>934119.86373213364</v>
      </c>
      <c r="L92" s="123">
        <f t="shared" si="40" ref="L92:L108">IFERROR(VLOOKUP($E92,$R$42:$Y$173,7,0),0)</f>
        <v>953736.38087050873</v>
      </c>
      <c r="M92" s="123">
        <f t="shared" si="41" ref="M92:M108">IFERROR(VLOOKUP($E92,$R$42:$Y$173,8,0),0)</f>
        <v>974054.91525514214</v>
      </c>
      <c r="N92" s="135"/>
      <c r="R92" s="268">
        <v>5320</v>
      </c>
      <c r="S92" s="269" t="s">
        <v>47</v>
      </c>
      <c r="T92" s="273">
        <v>269097.77480199997</v>
      </c>
      <c r="U92" s="273">
        <v>274283.03029804002</v>
      </c>
      <c r="V92" s="273">
        <v>279650.87499440083</v>
      </c>
      <c r="W92" s="273">
        <v>285221.19597596314</v>
      </c>
      <c r="X92" s="273">
        <v>290903.05828506441</v>
      </c>
      <c r="Y92" s="273">
        <v>296698.70658894762</v>
      </c>
    </row>
    <row r="93" spans="3:25" ht="13">
      <c r="C93" s="139"/>
      <c r="D93" s="25"/>
      <c r="E93" s="75">
        <v>5610</v>
      </c>
      <c r="F93" s="75" t="s">
        <v>58</v>
      </c>
      <c r="G93" s="57">
        <f>'Benchmarking Calculations'!F59</f>
        <v>1032197.02</v>
      </c>
      <c r="H93" s="123">
        <f>IFERROR(VLOOKUP($E93,$R$42:$Y$173,3,0),0)</f>
        <v>1006075.3906548</v>
      </c>
      <c r="I93" s="123">
        <f>IFERROR(VLOOKUP($E93,$R$42:$Y$173,4,0),0)</f>
        <v>1027496.0740289035</v>
      </c>
      <c r="J93" s="123">
        <f>IFERROR(VLOOKUP($E93,$R$42:$Y$173,5,0),0)</f>
        <v>1048240.4863248825</v>
      </c>
      <c r="K93" s="123">
        <f>IFERROR(VLOOKUP($E93,$R$42:$Y$173,6,0),0)</f>
        <v>1070284.3165636247</v>
      </c>
      <c r="L93" s="123">
        <f>IFERROR(VLOOKUP($E93,$R$42:$Y$173,7,0),0)</f>
        <v>1092791.6828378986</v>
      </c>
      <c r="M93" s="123">
        <f>IFERROR(VLOOKUP($E93,$R$42:$Y$173,8,0),0)</f>
        <v>1115999.9408095775</v>
      </c>
      <c r="N93" s="135"/>
      <c r="R93" s="268">
        <v>5325</v>
      </c>
      <c r="S93" s="269" t="s">
        <v>48</v>
      </c>
      <c r="T93" s="273">
        <v>0</v>
      </c>
      <c r="U93" s="273">
        <v>0</v>
      </c>
      <c r="V93" s="273">
        <v>0</v>
      </c>
      <c r="W93" s="273">
        <v>0</v>
      </c>
      <c r="X93" s="273">
        <v>0</v>
      </c>
      <c r="Y93" s="273">
        <v>0</v>
      </c>
    </row>
    <row r="94" spans="3:25" ht="13">
      <c r="C94" s="139"/>
      <c r="D94" s="25"/>
      <c r="E94" s="75">
        <v>5615</v>
      </c>
      <c r="F94" s="75" t="s">
        <v>59</v>
      </c>
      <c r="G94" s="57">
        <f>'Benchmarking Calculations'!F60</f>
        <v>968306</v>
      </c>
      <c r="H94" s="123">
        <f>IFERROR(VLOOKUP($E94,$R$42:$Y$173,3,0),0)</f>
        <v>1077982.8268619997</v>
      </c>
      <c r="I94" s="123">
        <f>IFERROR(VLOOKUP($E94,$R$42:$Y$173,4,0),0)</f>
        <v>1046098.7822179676</v>
      </c>
      <c r="J94" s="123">
        <f>IFERROR(VLOOKUP($E94,$R$42:$Y$173,5,0),0)</f>
        <v>1151578.8908324072</v>
      </c>
      <c r="K94" s="123">
        <f>IFERROR(VLOOKUP($E94,$R$42:$Y$173,6,0),0)</f>
        <v>1175206.056887713</v>
      </c>
      <c r="L94" s="123">
        <f>IFERROR(VLOOKUP($E94,$R$42:$Y$173,7,0),0)</f>
        <v>1199325.1308385036</v>
      </c>
      <c r="M94" s="123">
        <f>IFERROR(VLOOKUP($E94,$R$42:$Y$173,8,0),0)</f>
        <v>1224248.2200501016</v>
      </c>
      <c r="N94" s="135"/>
      <c r="R94" s="268">
        <v>5330</v>
      </c>
      <c r="S94" s="269" t="s">
        <v>49</v>
      </c>
      <c r="T94" s="273">
        <v>0</v>
      </c>
      <c r="U94" s="273">
        <v>0</v>
      </c>
      <c r="V94" s="273">
        <v>0</v>
      </c>
      <c r="W94" s="273">
        <v>0</v>
      </c>
      <c r="X94" s="273">
        <v>0</v>
      </c>
      <c r="Y94" s="273">
        <v>0</v>
      </c>
    </row>
    <row r="95" spans="3:25" ht="13">
      <c r="C95" s="139"/>
      <c r="D95" s="25"/>
      <c r="E95" s="75">
        <v>5620</v>
      </c>
      <c r="F95" s="75" t="s">
        <v>60</v>
      </c>
      <c r="G95" s="57">
        <f>'Benchmarking Calculations'!F61</f>
        <v>369892.76000000001</v>
      </c>
      <c r="H95" s="123">
        <f>IFERROR(VLOOKUP($E95,$R$42:$Y$173,3,0),0)</f>
        <v>602330.07999999996</v>
      </c>
      <c r="I95" s="123">
        <f>IFERROR(VLOOKUP($E95,$R$42:$Y$173,4,0),0)</f>
        <v>614376.68159999989</v>
      </c>
      <c r="J95" s="123">
        <f>IFERROR(VLOOKUP($E95,$R$42:$Y$173,5,0),0)</f>
        <v>627254.93970480014</v>
      </c>
      <c r="K95" s="123">
        <f>IFERROR(VLOOKUP($E95,$R$42:$Y$173,6,0),0)</f>
        <v>640427.29343860061</v>
      </c>
      <c r="L95" s="123">
        <f>IFERROR(VLOOKUP($E95,$R$42:$Y$173,7,0),0)</f>
        <v>653876.26660081139</v>
      </c>
      <c r="M95" s="123">
        <f>IFERROR(VLOOKUP($E95,$R$42:$Y$173,8,0),0)</f>
        <v>667582.51904659066</v>
      </c>
      <c r="N95" s="135"/>
      <c r="R95" s="268">
        <v>5335</v>
      </c>
      <c r="S95" s="269" t="s">
        <v>230</v>
      </c>
      <c r="T95" s="273">
        <v>446604</v>
      </c>
      <c r="U95" s="273">
        <v>455536.08000000002</v>
      </c>
      <c r="V95" s="273">
        <v>465102.33768000006</v>
      </c>
      <c r="W95" s="273">
        <v>474869.48677128006</v>
      </c>
      <c r="X95" s="273">
        <v>484841.74599347688</v>
      </c>
      <c r="Y95" s="273">
        <v>495023.42265933991</v>
      </c>
    </row>
    <row r="96" spans="3:25" ht="13">
      <c r="C96" s="139"/>
      <c r="D96" s="25"/>
      <c r="E96" s="75">
        <v>5625</v>
      </c>
      <c r="F96" s="75" t="s">
        <v>61</v>
      </c>
      <c r="G96" s="57">
        <f>'Benchmarking Calculations'!F62</f>
        <v>-198299</v>
      </c>
      <c r="H96" s="123">
        <f>IFERROR(VLOOKUP($E96,$R$42:$Y$173,3,0),0)</f>
        <v>-179384.04000000004</v>
      </c>
      <c r="I96" s="123">
        <f>IFERROR(VLOOKUP($E96,$R$42:$Y$173,4,0),0)</f>
        <v>-182971.72080000004</v>
      </c>
      <c r="J96" s="123">
        <f>IFERROR(VLOOKUP($E96,$R$42:$Y$173,5,0),0)</f>
        <v>-186631.15521600004</v>
      </c>
      <c r="K96" s="123">
        <f>IFERROR(VLOOKUP($E96,$R$42:$Y$173,6,0),0)</f>
        <v>-190550.40947553606</v>
      </c>
      <c r="L96" s="123">
        <f>IFERROR(VLOOKUP($E96,$R$42:$Y$173,7,0),0)</f>
        <v>-194551.9680745223</v>
      </c>
      <c r="M96" s="123">
        <f>IFERROR(VLOOKUP($E96,$R$42:$Y$173,8,0),0)</f>
        <v>-198443.00743601273</v>
      </c>
      <c r="N96" s="135"/>
      <c r="R96" s="268">
        <v>5340</v>
      </c>
      <c r="S96" s="269" t="s">
        <v>231</v>
      </c>
      <c r="T96" s="273">
        <v>0</v>
      </c>
      <c r="U96" s="273">
        <v>0</v>
      </c>
      <c r="V96" s="273">
        <v>0</v>
      </c>
      <c r="W96" s="273">
        <v>0</v>
      </c>
      <c r="X96" s="273">
        <v>0</v>
      </c>
      <c r="Y96" s="273">
        <v>0</v>
      </c>
    </row>
    <row r="97" spans="3:25" ht="13">
      <c r="C97" s="139"/>
      <c r="D97" s="25"/>
      <c r="E97" s="75">
        <v>5630</v>
      </c>
      <c r="F97" s="75" t="s">
        <v>62</v>
      </c>
      <c r="G97" s="57">
        <f>'Benchmarking Calculations'!F63</f>
        <v>279563</v>
      </c>
      <c r="H97" s="123">
        <f>IFERROR(VLOOKUP($E97,$R$42:$Y$173,3,0),0)</f>
        <v>259602.46000000002</v>
      </c>
      <c r="I97" s="123">
        <f>IFERROR(VLOOKUP($E97,$R$42:$Y$173,4,0),0)</f>
        <v>264794.50920000003</v>
      </c>
      <c r="J97" s="123">
        <f>IFERROR(VLOOKUP($E97,$R$42:$Y$173,5,0),0)</f>
        <v>270355.19389320002</v>
      </c>
      <c r="K97" s="123">
        <f>IFERROR(VLOOKUP($E97,$R$42:$Y$173,6,0),0)</f>
        <v>276032.65296495723</v>
      </c>
      <c r="L97" s="123">
        <f>IFERROR(VLOOKUP($E97,$R$42:$Y$173,7,0),0)</f>
        <v>281829.33867722133</v>
      </c>
      <c r="M97" s="123">
        <f>IFERROR(VLOOKUP($E97,$R$42:$Y$173,8,0),0)</f>
        <v>287747.75478944299</v>
      </c>
      <c r="N97" s="135"/>
      <c r="R97" s="266"/>
      <c r="S97" s="267" t="s">
        <v>232</v>
      </c>
      <c r="T97" s="273"/>
      <c r="U97" s="273"/>
      <c r="V97" s="273"/>
      <c r="W97" s="273"/>
      <c r="X97" s="273"/>
      <c r="Y97" s="273"/>
    </row>
    <row r="98" spans="3:25" ht="13">
      <c r="C98" s="139"/>
      <c r="D98" s="25"/>
      <c r="E98" s="75">
        <v>5640</v>
      </c>
      <c r="F98" s="75" t="s">
        <v>63</v>
      </c>
      <c r="G98" s="57">
        <f>'Benchmarking Calculations'!F64</f>
        <v>201481</v>
      </c>
      <c r="H98" s="123">
        <f>IFERROR(VLOOKUP($E98,$R$42:$Y$173,3,0),0)</f>
        <v>209500.79999999996</v>
      </c>
      <c r="I98" s="123">
        <f>IFERROR(VLOOKUP($E98,$R$42:$Y$173,4,0),0)</f>
        <v>213690.81599999996</v>
      </c>
      <c r="J98" s="123">
        <f>IFERROR(VLOOKUP($E98,$R$42:$Y$173,5,0),0)</f>
        <v>218178.32313599996</v>
      </c>
      <c r="K98" s="123">
        <f>IFERROR(VLOOKUP($E98,$R$42:$Y$173,6,0),0)</f>
        <v>222760.06792185595</v>
      </c>
      <c r="L98" s="123">
        <f>IFERROR(VLOOKUP($E98,$R$42:$Y$173,7,0),0)</f>
        <v>227438.02934821494</v>
      </c>
      <c r="M98" s="123">
        <f>IFERROR(VLOOKUP($E98,$R$42:$Y$173,8,0),0)</f>
        <v>232214.22796452744</v>
      </c>
      <c r="N98" s="135"/>
      <c r="R98" s="268">
        <v>5405</v>
      </c>
      <c r="S98" s="269" t="s">
        <v>229</v>
      </c>
      <c r="T98" s="273">
        <v>157586.25247840004</v>
      </c>
      <c r="U98" s="273">
        <v>160737.977527968</v>
      </c>
      <c r="V98" s="273">
        <v>163973.0198193274</v>
      </c>
      <c r="W98" s="273">
        <v>167419.87323841319</v>
      </c>
      <c r="X98" s="273">
        <v>170939.17897935747</v>
      </c>
      <c r="Y98" s="273">
        <v>174537.12306424862</v>
      </c>
    </row>
    <row r="99" spans="3:25" ht="13">
      <c r="C99" s="139"/>
      <c r="D99" s="25"/>
      <c r="E99" s="75">
        <v>5645</v>
      </c>
      <c r="F99" s="75" t="s">
        <v>64</v>
      </c>
      <c r="G99" s="57">
        <f>'Benchmarking Calculations'!F65</f>
        <v>922515</v>
      </c>
      <c r="H99" s="123">
        <f>IFERROR(VLOOKUP($E99,$R$42:$Y$173,3,0),0)</f>
        <v>981032.31160000002</v>
      </c>
      <c r="I99" s="123">
        <f>IFERROR(VLOOKUP($E99,$R$42:$Y$173,4,0),0)</f>
        <v>998897.82840959984</v>
      </c>
      <c r="J99" s="123">
        <f>IFERROR(VLOOKUP($E99,$R$42:$Y$173,5,0),0)</f>
        <v>1019779.0666837919</v>
      </c>
      <c r="K99" s="123">
        <f>IFERROR(VLOOKUP($E99,$R$42:$Y$173,6,0),0)</f>
        <v>1041204.6870927915</v>
      </c>
      <c r="L99" s="123">
        <f>IFERROR(VLOOKUP($E99,$R$42:$Y$173,7,0),0)</f>
        <v>1063080.4507305529</v>
      </c>
      <c r="M99" s="123">
        <f>IFERROR(VLOOKUP($E99,$R$42:$Y$173,8,0),0)</f>
        <v>1085415.8147088834</v>
      </c>
      <c r="N99" s="135"/>
      <c r="R99" s="268">
        <v>5410</v>
      </c>
      <c r="S99" s="269" t="s">
        <v>53</v>
      </c>
      <c r="T99" s="273">
        <v>197191.07000000004</v>
      </c>
      <c r="U99" s="273">
        <v>190417.42019501602</v>
      </c>
      <c r="V99" s="273">
        <v>194214.38278551635</v>
      </c>
      <c r="W99" s="273">
        <v>198179.34654384095</v>
      </c>
      <c r="X99" s="273">
        <v>202225.53769205307</v>
      </c>
      <c r="Y99" s="273">
        <v>206354.62547885781</v>
      </c>
    </row>
    <row r="100" spans="3:25" ht="13">
      <c r="C100" s="139"/>
      <c r="D100" s="25"/>
      <c r="E100" s="75">
        <v>5646</v>
      </c>
      <c r="F100" s="75" t="s">
        <v>65</v>
      </c>
      <c r="G100" s="57">
        <f>'Benchmarking Calculations'!F66</f>
        <v>0</v>
      </c>
      <c r="H100" s="123">
        <f>IFERROR(VLOOKUP($E100,$R$42:$Y$173,3,0),0)</f>
        <v>0</v>
      </c>
      <c r="I100" s="123">
        <f>IFERROR(VLOOKUP($E100,$R$42:$Y$173,4,0),0)</f>
        <v>0</v>
      </c>
      <c r="J100" s="123">
        <f>IFERROR(VLOOKUP($E100,$R$42:$Y$173,5,0),0)</f>
        <v>0</v>
      </c>
      <c r="K100" s="123">
        <f>IFERROR(VLOOKUP($E100,$R$42:$Y$173,6,0),0)</f>
        <v>0</v>
      </c>
      <c r="L100" s="123">
        <f>IFERROR(VLOOKUP($E100,$R$42:$Y$173,7,0),0)</f>
        <v>0</v>
      </c>
      <c r="M100" s="123">
        <f>IFERROR(VLOOKUP($E100,$R$42:$Y$173,8,0),0)</f>
        <v>0</v>
      </c>
      <c r="N100" s="135"/>
      <c r="R100" s="268">
        <v>5415</v>
      </c>
      <c r="S100" s="269" t="s">
        <v>233</v>
      </c>
      <c r="T100" s="273">
        <v>123943.902</v>
      </c>
      <c r="U100" s="273">
        <v>125863.21499680798</v>
      </c>
      <c r="V100" s="273">
        <v>128395.41798214415</v>
      </c>
      <c r="W100" s="273">
        <v>128391.52819007797</v>
      </c>
      <c r="X100" s="273">
        <v>131091.23868500721</v>
      </c>
      <c r="Y100" s="273">
        <v>133847.71286838868</v>
      </c>
    </row>
    <row r="101" spans="3:25" ht="13">
      <c r="C101" s="139"/>
      <c r="D101" s="25"/>
      <c r="E101" s="75">
        <v>5647</v>
      </c>
      <c r="F101" s="75" t="s">
        <v>66</v>
      </c>
      <c r="G101" s="57">
        <f>'Benchmarking Calculations'!F67</f>
        <v>0</v>
      </c>
      <c r="H101" s="123">
        <f>IFERROR(VLOOKUP($E101,$R$42:$Y$173,3,0),0)</f>
        <v>0</v>
      </c>
      <c r="I101" s="123">
        <f>IFERROR(VLOOKUP($E101,$R$42:$Y$173,4,0),0)</f>
        <v>0</v>
      </c>
      <c r="J101" s="123">
        <f>IFERROR(VLOOKUP($E101,$R$42:$Y$173,5,0),0)</f>
        <v>0</v>
      </c>
      <c r="K101" s="123">
        <f>IFERROR(VLOOKUP($E101,$R$42:$Y$173,6,0),0)</f>
        <v>0</v>
      </c>
      <c r="L101" s="123">
        <f>IFERROR(VLOOKUP($E101,$R$42:$Y$173,7,0),0)</f>
        <v>0</v>
      </c>
      <c r="M101" s="123">
        <f>IFERROR(VLOOKUP($E101,$R$42:$Y$173,8,0),0)</f>
        <v>0</v>
      </c>
      <c r="N101" s="135"/>
      <c r="R101" s="268">
        <v>5420</v>
      </c>
      <c r="S101" s="269" t="s">
        <v>54</v>
      </c>
      <c r="T101" s="273">
        <v>148923.61000000002</v>
      </c>
      <c r="U101" s="273">
        <v>189161.40720000002</v>
      </c>
      <c r="V101" s="273">
        <v>193060.81689359996</v>
      </c>
      <c r="W101" s="273">
        <v>197118.51405124564</v>
      </c>
      <c r="X101" s="273">
        <v>201261.49124925933</v>
      </c>
      <c r="Y101" s="273">
        <v>205505.45875195097</v>
      </c>
    </row>
    <row r="102" spans="3:25" ht="13">
      <c r="C102" s="139"/>
      <c r="D102" s="25"/>
      <c r="E102" s="75">
        <v>5650</v>
      </c>
      <c r="F102" s="75" t="s">
        <v>67</v>
      </c>
      <c r="G102" s="57">
        <f>'Benchmarking Calculations'!F68</f>
        <v>0</v>
      </c>
      <c r="H102" s="123">
        <f>IFERROR(VLOOKUP($E102,$R$42:$Y$173,3,0),0)</f>
        <v>0</v>
      </c>
      <c r="I102" s="123">
        <f>IFERROR(VLOOKUP($E102,$R$42:$Y$173,4,0),0)</f>
        <v>0</v>
      </c>
      <c r="J102" s="123">
        <f>IFERROR(VLOOKUP($E102,$R$42:$Y$173,5,0),0)</f>
        <v>0</v>
      </c>
      <c r="K102" s="123">
        <f>IFERROR(VLOOKUP($E102,$R$42:$Y$173,6,0),0)</f>
        <v>0</v>
      </c>
      <c r="L102" s="123">
        <f>IFERROR(VLOOKUP($E102,$R$42:$Y$173,7,0),0)</f>
        <v>0</v>
      </c>
      <c r="M102" s="123">
        <f>IFERROR(VLOOKUP($E102,$R$42:$Y$173,8,0),0)</f>
        <v>0</v>
      </c>
      <c r="N102" s="135"/>
      <c r="R102" s="268">
        <v>5425</v>
      </c>
      <c r="S102" s="269" t="s">
        <v>55</v>
      </c>
      <c r="T102" s="273">
        <v>869886.69956000021</v>
      </c>
      <c r="U102" s="273">
        <v>887263.43355119997</v>
      </c>
      <c r="V102" s="273">
        <v>905101.08428162395</v>
      </c>
      <c r="W102" s="273">
        <v>924099.50286569796</v>
      </c>
      <c r="X102" s="273">
        <v>943496.7794447327</v>
      </c>
      <c r="Y102" s="273">
        <v>963301.2890359083</v>
      </c>
    </row>
    <row r="103" spans="3:25" ht="13">
      <c r="C103" s="139"/>
      <c r="D103" s="25"/>
      <c r="E103" s="75">
        <v>5655</v>
      </c>
      <c r="F103" s="75" t="s">
        <v>68</v>
      </c>
      <c r="G103" s="57">
        <f>'Benchmarking Calculations'!F69</f>
        <v>403300</v>
      </c>
      <c r="H103" s="123">
        <f>IFERROR(VLOOKUP($E103,$R$42:$Y$173,3,0),0)</f>
        <v>152558.13999999999</v>
      </c>
      <c r="I103" s="123">
        <f>IFERROR(VLOOKUP($E103,$R$42:$Y$173,4,0),0)</f>
        <v>415032.26666666666</v>
      </c>
      <c r="J103" s="123">
        <f>IFERROR(VLOOKUP($E103,$R$42:$Y$173,5,0),0)</f>
        <v>420859.24166666664</v>
      </c>
      <c r="K103" s="123">
        <f>IFERROR(VLOOKUP($E103,$R$42:$Y$173,6,0),0)</f>
        <v>426808.58314166666</v>
      </c>
      <c r="L103" s="123">
        <f>IFERROR(VLOOKUP($E103,$R$42:$Y$173,7,0),0)</f>
        <v>432882.86078764166</v>
      </c>
      <c r="M103" s="123">
        <f>IFERROR(VLOOKUP($E103,$R$42:$Y$173,8,0),0)</f>
        <v>439084.69826418214</v>
      </c>
      <c r="N103" s="135"/>
      <c r="R103" s="266"/>
      <c r="S103" s="267" t="s">
        <v>234</v>
      </c>
      <c r="T103" s="273"/>
      <c r="U103" s="273"/>
      <c r="V103" s="273"/>
      <c r="W103" s="273"/>
      <c r="X103" s="273"/>
      <c r="Y103" s="273"/>
    </row>
    <row r="104" spans="3:25" ht="13">
      <c r="C104" s="139"/>
      <c r="D104" s="25"/>
      <c r="E104" s="75">
        <v>5665</v>
      </c>
      <c r="F104" s="75" t="s">
        <v>69</v>
      </c>
      <c r="G104" s="57">
        <f>'Benchmarking Calculations'!F70</f>
        <v>169994.82000000001</v>
      </c>
      <c r="H104" s="123">
        <f>IFERROR(VLOOKUP($E104,$R$42:$Y$173,3,0),0)</f>
        <v>163269.07999999996</v>
      </c>
      <c r="I104" s="123">
        <f>IFERROR(VLOOKUP($E104,$R$42:$Y$173,4,0),0)</f>
        <v>166534.46159999998</v>
      </c>
      <c r="J104" s="123">
        <f>IFERROR(VLOOKUP($E104,$R$42:$Y$173,5,0),0)</f>
        <v>170031.68529359999</v>
      </c>
      <c r="K104" s="123">
        <f>IFERROR(VLOOKUP($E104,$R$42:$Y$173,6,0),0)</f>
        <v>173602.35068476561</v>
      </c>
      <c r="L104" s="123">
        <f>IFERROR(VLOOKUP($E104,$R$42:$Y$173,7,0),0)</f>
        <v>177248.00004914569</v>
      </c>
      <c r="M104" s="123">
        <f>IFERROR(VLOOKUP($E104,$R$42:$Y$173,8,0),0)</f>
        <v>180970.20805017772</v>
      </c>
      <c r="N104" s="135"/>
      <c r="R104" s="268">
        <v>5505</v>
      </c>
      <c r="S104" s="269" t="s">
        <v>229</v>
      </c>
      <c r="T104" s="273">
        <v>0</v>
      </c>
      <c r="U104" s="273">
        <v>0</v>
      </c>
      <c r="V104" s="273">
        <v>0</v>
      </c>
      <c r="W104" s="273">
        <v>0</v>
      </c>
      <c r="X104" s="273">
        <v>0</v>
      </c>
      <c r="Y104" s="273">
        <v>0</v>
      </c>
    </row>
    <row r="105" spans="3:25" ht="13">
      <c r="C105" s="139"/>
      <c r="D105" s="25"/>
      <c r="E105" s="75">
        <v>5670</v>
      </c>
      <c r="F105" s="75" t="s">
        <v>70</v>
      </c>
      <c r="G105" s="57">
        <f>'Benchmarking Calculations'!F71</f>
        <v>329633</v>
      </c>
      <c r="H105" s="123">
        <f>IFERROR(VLOOKUP($E105,$R$42:$Y$173,3,0),0)</f>
        <v>335258.52000000002</v>
      </c>
      <c r="I105" s="123">
        <f>IFERROR(VLOOKUP($E105,$R$42:$Y$173,4,0),0)</f>
        <v>341963.69040000002</v>
      </c>
      <c r="J105" s="123">
        <f>IFERROR(VLOOKUP($E105,$R$42:$Y$173,5,0),0)</f>
        <v>349144.9278984</v>
      </c>
      <c r="K105" s="123">
        <f>IFERROR(VLOOKUP($E105,$R$42:$Y$173,6,0),0)</f>
        <v>356476.97138426639</v>
      </c>
      <c r="L105" s="123">
        <f>IFERROR(VLOOKUP($E105,$R$42:$Y$173,7,0),0)</f>
        <v>363962.98778333596</v>
      </c>
      <c r="M105" s="123">
        <f>IFERROR(VLOOKUP($E105,$R$42:$Y$173,8,0),0)</f>
        <v>371606.21052678605</v>
      </c>
      <c r="N105" s="135"/>
      <c r="R105" s="268">
        <v>5510</v>
      </c>
      <c r="S105" s="269" t="s">
        <v>235</v>
      </c>
      <c r="T105" s="273">
        <v>0</v>
      </c>
      <c r="U105" s="273">
        <v>0</v>
      </c>
      <c r="V105" s="273">
        <v>0</v>
      </c>
      <c r="W105" s="273">
        <v>0</v>
      </c>
      <c r="X105" s="273">
        <v>0</v>
      </c>
      <c r="Y105" s="273">
        <v>0</v>
      </c>
    </row>
    <row r="106" spans="3:25" ht="13">
      <c r="C106" s="139"/>
      <c r="D106" s="25"/>
      <c r="E106" s="75">
        <v>5672</v>
      </c>
      <c r="F106" s="75" t="s">
        <v>71</v>
      </c>
      <c r="G106" s="57">
        <f>'Benchmarking Calculations'!F72</f>
        <v>0</v>
      </c>
      <c r="H106" s="123">
        <f>IFERROR(VLOOKUP($E106,$R$42:$Y$173,3,0),0)</f>
        <v>0</v>
      </c>
      <c r="I106" s="123">
        <f>IFERROR(VLOOKUP($E106,$R$42:$Y$173,4,0),0)</f>
        <v>0</v>
      </c>
      <c r="J106" s="123">
        <f>IFERROR(VLOOKUP($E106,$R$42:$Y$173,5,0),0)</f>
        <v>0</v>
      </c>
      <c r="K106" s="123">
        <f>IFERROR(VLOOKUP($E106,$R$42:$Y$173,6,0),0)</f>
        <v>0</v>
      </c>
      <c r="L106" s="123">
        <f>IFERROR(VLOOKUP($E106,$R$42:$Y$173,7,0),0)</f>
        <v>0</v>
      </c>
      <c r="M106" s="123">
        <f>IFERROR(VLOOKUP($E106,$R$42:$Y$173,8,0),0)</f>
        <v>0</v>
      </c>
      <c r="N106" s="135"/>
      <c r="R106" s="268">
        <v>5515</v>
      </c>
      <c r="S106" s="269" t="s">
        <v>236</v>
      </c>
      <c r="T106" s="273">
        <v>0</v>
      </c>
      <c r="U106" s="273">
        <v>0</v>
      </c>
      <c r="V106" s="273">
        <v>0</v>
      </c>
      <c r="W106" s="273">
        <v>0</v>
      </c>
      <c r="X106" s="273">
        <v>0</v>
      </c>
      <c r="Y106" s="273">
        <v>0</v>
      </c>
    </row>
    <row r="107" spans="3:25" ht="13">
      <c r="C107" s="139"/>
      <c r="D107" s="25"/>
      <c r="E107" s="75">
        <v>5675</v>
      </c>
      <c r="F107" s="75" t="s">
        <v>72</v>
      </c>
      <c r="G107" s="57">
        <f>'Benchmarking Calculations'!F73</f>
        <v>941314</v>
      </c>
      <c r="H107" s="123">
        <f>IFERROR(VLOOKUP($E107,$R$42:$Y$173,3,0),0)</f>
        <v>891534.84000000008</v>
      </c>
      <c r="I107" s="123">
        <f>IFERROR(VLOOKUP($E107,$R$42:$Y$173,4,0),0)</f>
        <v>908763.96575999993</v>
      </c>
      <c r="J107" s="123">
        <f>IFERROR(VLOOKUP($E107,$R$42:$Y$173,5,0),0)</f>
        <v>926877.06937488017</v>
      </c>
      <c r="K107" s="123">
        <f>IFERROR(VLOOKUP($E107,$R$42:$Y$173,6,0),0)</f>
        <v>945406.35407206684</v>
      </c>
      <c r="L107" s="123">
        <f>IFERROR(VLOOKUP($E107,$R$42:$Y$173,7,0),0)</f>
        <v>964307.92134022072</v>
      </c>
      <c r="M107" s="123">
        <f>IFERROR(VLOOKUP($E107,$R$42:$Y$173,8,0),0)</f>
        <v>983533.6328092711</v>
      </c>
      <c r="N107" s="135"/>
      <c r="R107" s="268">
        <v>5520</v>
      </c>
      <c r="S107" s="269" t="s">
        <v>237</v>
      </c>
      <c r="T107" s="273">
        <v>0</v>
      </c>
      <c r="U107" s="273">
        <v>0</v>
      </c>
      <c r="V107" s="273">
        <v>0</v>
      </c>
      <c r="W107" s="273">
        <v>0</v>
      </c>
      <c r="X107" s="273">
        <v>0</v>
      </c>
      <c r="Y107" s="273">
        <v>0</v>
      </c>
    </row>
    <row r="108" spans="3:25" ht="13">
      <c r="C108" s="139"/>
      <c r="D108" s="25"/>
      <c r="E108" s="106">
        <v>5680</v>
      </c>
      <c r="F108" s="106" t="s">
        <v>73</v>
      </c>
      <c r="G108" s="107">
        <f>'Benchmarking Calculations'!F74</f>
        <v>0</v>
      </c>
      <c r="H108" s="123">
        <f>IFERROR(VLOOKUP($E108,$R$42:$Y$173,3,0),0)</f>
        <v>0</v>
      </c>
      <c r="I108" s="123">
        <f>IFERROR(VLOOKUP($E108,$R$42:$Y$173,4,0),0)</f>
        <v>0</v>
      </c>
      <c r="J108" s="123">
        <f>IFERROR(VLOOKUP($E108,$R$42:$Y$173,5,0),0)</f>
        <v>0</v>
      </c>
      <c r="K108" s="123">
        <f>IFERROR(VLOOKUP($E108,$R$42:$Y$173,6,0),0)</f>
        <v>0</v>
      </c>
      <c r="L108" s="123">
        <f>IFERROR(VLOOKUP($E108,$R$42:$Y$173,7,0),0)</f>
        <v>0</v>
      </c>
      <c r="M108" s="123">
        <f>IFERROR(VLOOKUP($E108,$R$42:$Y$173,8,0),0)</f>
        <v>0</v>
      </c>
      <c r="N108" s="135"/>
      <c r="R108" s="266"/>
      <c r="S108" s="267" t="s">
        <v>238</v>
      </c>
      <c r="T108" s="273"/>
      <c r="U108" s="273"/>
      <c r="V108" s="273"/>
      <c r="W108" s="273"/>
      <c r="X108" s="273"/>
      <c r="Y108" s="273"/>
    </row>
    <row r="109" spans="3:25" ht="13">
      <c r="C109" s="139"/>
      <c r="D109" s="25"/>
      <c r="E109" s="12"/>
      <c r="F109" s="77" t="s">
        <v>74</v>
      </c>
      <c r="G109" s="105">
        <f>'Benchmarking Calculations'!F75</f>
        <v>6415031.8200000003</v>
      </c>
      <c r="H109" s="78">
        <f>SUM(H92:H108)</f>
        <v>6454853.1691167988</v>
      </c>
      <c r="I109" s="78">
        <f t="shared" si="42" ref="I109:M109">SUM(I92:I108)</f>
        <v>6711208.0278831366</v>
      </c>
      <c r="J109" s="78">
        <f>SUM(J92:J108)</f>
        <v>6930575.4900942277</v>
      </c>
      <c r="K109" s="78">
        <f>SUM(K92:K108)</f>
        <v>7071778.7884089062</v>
      </c>
      <c r="L109" s="78">
        <f>SUM(L92:L108)</f>
        <v>7215927.0817895327</v>
      </c>
      <c r="M109" s="78">
        <f>SUM(M92:M108)</f>
        <v>7364015.1348386686</v>
      </c>
      <c r="N109" s="140" t="s">
        <v>29</v>
      </c>
      <c r="R109" s="268">
        <v>5605</v>
      </c>
      <c r="S109" s="269" t="s">
        <v>57</v>
      </c>
      <c r="T109" s="273">
        <v>955092.75999999989</v>
      </c>
      <c r="U109" s="273">
        <v>896530.67279999983</v>
      </c>
      <c r="V109" s="273">
        <v>914906.82050160039</v>
      </c>
      <c r="W109" s="273">
        <v>934119.86373213364</v>
      </c>
      <c r="X109" s="273">
        <v>953736.38087050873</v>
      </c>
      <c r="Y109" s="273">
        <v>974054.91525514214</v>
      </c>
    </row>
    <row r="110" spans="3:25" ht="13">
      <c r="C110" s="139"/>
      <c r="D110" s="25"/>
      <c r="E110" s="75">
        <v>5635</v>
      </c>
      <c r="F110" s="75" t="s">
        <v>75</v>
      </c>
      <c r="G110" s="57">
        <f>'Benchmarking Calculations'!F76</f>
        <v>101037</v>
      </c>
      <c r="H110" s="123">
        <f t="shared" si="43" ref="H110:H111">IFERROR(VLOOKUP($E110,$R$42:$Y$173,3,0),0)</f>
        <v>99376.560000000012</v>
      </c>
      <c r="I110" s="123">
        <f t="shared" si="44" ref="I110:I111">IFERROR(VLOOKUP($E110,$R$42:$Y$173,4,0),0)</f>
        <v>101364.09120000001</v>
      </c>
      <c r="J110" s="123">
        <f t="shared" si="45" ref="J110:J111">IFERROR(VLOOKUP($E110,$R$42:$Y$173,5,0),0)</f>
        <v>103492.73711520001</v>
      </c>
      <c r="K110" s="123">
        <f t="shared" si="46" ref="K110:K111">IFERROR(VLOOKUP($E110,$R$42:$Y$173,6,0),0)</f>
        <v>105666.08459461921</v>
      </c>
      <c r="L110" s="123">
        <f t="shared" si="47" ref="L110:L111">IFERROR(VLOOKUP($E110,$R$42:$Y$173,7,0),0)</f>
        <v>107885.07237110622</v>
      </c>
      <c r="M110" s="123">
        <f t="shared" si="48" ref="M110:M111">IFERROR(VLOOKUP($E110,$R$42:$Y$173,8,0),0)</f>
        <v>110150.65889089945</v>
      </c>
      <c r="N110" s="135"/>
      <c r="R110" s="268">
        <v>5610</v>
      </c>
      <c r="S110" s="269" t="s">
        <v>58</v>
      </c>
      <c r="T110" s="273">
        <v>1006075.3906548</v>
      </c>
      <c r="U110" s="273">
        <v>1027496.0740289035</v>
      </c>
      <c r="V110" s="273">
        <v>1048240.4863248825</v>
      </c>
      <c r="W110" s="273">
        <v>1070284.3165636247</v>
      </c>
      <c r="X110" s="273">
        <v>1092791.6828378986</v>
      </c>
      <c r="Y110" s="273">
        <v>1115999.9408095775</v>
      </c>
    </row>
    <row r="111" spans="3:25" ht="13">
      <c r="C111" s="139"/>
      <c r="D111" s="25"/>
      <c r="E111" s="106">
        <v>6210</v>
      </c>
      <c r="F111" s="106" t="s">
        <v>76</v>
      </c>
      <c r="G111" s="107">
        <f>'Benchmarking Calculations'!F77</f>
        <v>0</v>
      </c>
      <c r="H111" s="123">
        <f>IFERROR(VLOOKUP($E111,$R$42:$Y$173,3,0),0)</f>
        <v>0</v>
      </c>
      <c r="I111" s="123">
        <f>IFERROR(VLOOKUP($E111,$R$42:$Y$173,4,0),0)</f>
        <v>0</v>
      </c>
      <c r="J111" s="123">
        <f>IFERROR(VLOOKUP($E111,$R$42:$Y$173,5,0),0)</f>
        <v>0</v>
      </c>
      <c r="K111" s="123">
        <f>IFERROR(VLOOKUP($E111,$R$42:$Y$173,6,0),0)</f>
        <v>0</v>
      </c>
      <c r="L111" s="123">
        <f>IFERROR(VLOOKUP($E111,$R$42:$Y$173,7,0),0)</f>
        <v>0</v>
      </c>
      <c r="M111" s="123">
        <f>IFERROR(VLOOKUP($E111,$R$42:$Y$173,8,0),0)</f>
        <v>0</v>
      </c>
      <c r="N111" s="135"/>
      <c r="R111" s="268">
        <v>5615</v>
      </c>
      <c r="S111" s="269" t="s">
        <v>59</v>
      </c>
      <c r="T111" s="273">
        <v>1077982.8268619997</v>
      </c>
      <c r="U111" s="273">
        <v>1046098.7822179676</v>
      </c>
      <c r="V111" s="273">
        <v>1151578.8908324072</v>
      </c>
      <c r="W111" s="273">
        <v>1175206.056887713</v>
      </c>
      <c r="X111" s="273">
        <v>1199325.1308385036</v>
      </c>
      <c r="Y111" s="273">
        <v>1224248.2200501016</v>
      </c>
    </row>
    <row r="112" spans="3:25" ht="13">
      <c r="C112" s="139"/>
      <c r="D112" s="25"/>
      <c r="E112" s="25"/>
      <c r="F112" s="77" t="s">
        <v>77</v>
      </c>
      <c r="G112" s="105">
        <f>'Benchmarking Calculations'!F78</f>
        <v>101037</v>
      </c>
      <c r="H112" s="78">
        <f>H110+H111</f>
        <v>99376.560000000012</v>
      </c>
      <c r="I112" s="78">
        <f t="shared" si="49" ref="I112:M112">I110+I111</f>
        <v>101364.09120000001</v>
      </c>
      <c r="J112" s="78">
        <f>J110+J111</f>
        <v>103492.73711520001</v>
      </c>
      <c r="K112" s="78">
        <f>K110+K111</f>
        <v>105666.08459461921</v>
      </c>
      <c r="L112" s="78">
        <f>L110+L111</f>
        <v>107885.07237110622</v>
      </c>
      <c r="M112" s="78">
        <f>M110+M111</f>
        <v>110150.65889089945</v>
      </c>
      <c r="N112" s="140" t="s">
        <v>29</v>
      </c>
      <c r="R112" s="268">
        <v>5620</v>
      </c>
      <c r="S112" s="269" t="s">
        <v>239</v>
      </c>
      <c r="T112" s="273">
        <v>602330.07999999996</v>
      </c>
      <c r="U112" s="273">
        <v>614376.68159999989</v>
      </c>
      <c r="V112" s="273">
        <v>627254.93970480014</v>
      </c>
      <c r="W112" s="273">
        <v>640427.29343860061</v>
      </c>
      <c r="X112" s="273">
        <v>653876.26660081139</v>
      </c>
      <c r="Y112" s="273">
        <v>667582.51904659066</v>
      </c>
    </row>
    <row r="113" spans="3:25" ht="13">
      <c r="C113" s="139"/>
      <c r="D113" s="25"/>
      <c r="E113" s="108">
        <v>5515</v>
      </c>
      <c r="F113" s="106" t="s">
        <v>78</v>
      </c>
      <c r="G113" s="107">
        <f>'Benchmarking Calculations'!F79</f>
        <v>0</v>
      </c>
      <c r="H113" s="123">
        <f>IFERROR(VLOOKUP($E113,$R$42:$Y$173,3,0),0)</f>
        <v>0</v>
      </c>
      <c r="I113" s="123">
        <f>IFERROR(VLOOKUP($E113,$R$42:$Y$173,4,0),0)</f>
        <v>0</v>
      </c>
      <c r="J113" s="123">
        <f>IFERROR(VLOOKUP($E113,$R$42:$Y$173,5,0),0)</f>
        <v>0</v>
      </c>
      <c r="K113" s="123">
        <f>IFERROR(VLOOKUP($E113,$R$42:$Y$173,6,0),0)</f>
        <v>0</v>
      </c>
      <c r="L113" s="123">
        <f>IFERROR(VLOOKUP($E113,$R$42:$Y$173,7,0),0)</f>
        <v>0</v>
      </c>
      <c r="M113" s="123">
        <f>IFERROR(VLOOKUP($E113,$R$42:$Y$173,8,0),0)</f>
        <v>0</v>
      </c>
      <c r="N113" s="135"/>
      <c r="R113" s="268">
        <v>5625</v>
      </c>
      <c r="S113" s="269" t="s">
        <v>240</v>
      </c>
      <c r="T113" s="273">
        <v>-179384.04000000004</v>
      </c>
      <c r="U113" s="273">
        <v>-182971.72080000004</v>
      </c>
      <c r="V113" s="273">
        <v>-186631.15521600004</v>
      </c>
      <c r="W113" s="273">
        <v>-190550.40947553606</v>
      </c>
      <c r="X113" s="273">
        <v>-194551.9680745223</v>
      </c>
      <c r="Y113" s="273">
        <v>-198443.00743601273</v>
      </c>
    </row>
    <row r="114" spans="3:25" ht="13">
      <c r="C114" s="139"/>
      <c r="D114" s="74"/>
      <c r="E114" s="15"/>
      <c r="F114" s="77" t="s">
        <v>79</v>
      </c>
      <c r="G114" s="105">
        <f>'Benchmarking Calculations'!F80</f>
        <v>0</v>
      </c>
      <c r="H114" s="78">
        <f>H113</f>
        <v>0</v>
      </c>
      <c r="I114" s="78">
        <f t="shared" si="50" ref="I114:M114">I113</f>
        <v>0</v>
      </c>
      <c r="J114" s="78">
        <f>J113</f>
        <v>0</v>
      </c>
      <c r="K114" s="78">
        <f>K113</f>
        <v>0</v>
      </c>
      <c r="L114" s="78">
        <f>L113</f>
        <v>0</v>
      </c>
      <c r="M114" s="78">
        <f>M113</f>
        <v>0</v>
      </c>
      <c r="N114" s="140" t="s">
        <v>29</v>
      </c>
      <c r="R114" s="268">
        <v>5630</v>
      </c>
      <c r="S114" s="269" t="s">
        <v>62</v>
      </c>
      <c r="T114" s="273">
        <v>259602.46000000002</v>
      </c>
      <c r="U114" s="273">
        <v>264794.50920000003</v>
      </c>
      <c r="V114" s="273">
        <v>270355.19389320002</v>
      </c>
      <c r="W114" s="273">
        <v>276032.65296495723</v>
      </c>
      <c r="X114" s="273">
        <v>281829.33867722133</v>
      </c>
      <c r="Y114" s="273">
        <v>287747.75478944299</v>
      </c>
    </row>
    <row r="115" spans="3:25" ht="13">
      <c r="C115" s="139"/>
      <c r="D115" s="74"/>
      <c r="E115" s="152" t="s">
        <v>194</v>
      </c>
      <c r="F115" s="77" t="s">
        <v>80</v>
      </c>
      <c r="G115" s="57">
        <f>'Benchmarking Calculations'!F81</f>
        <v>12607249.100000002</v>
      </c>
      <c r="H115" s="78">
        <f>H64+H78+H86+H91+H109+H112</f>
        <v>13274929.374058003</v>
      </c>
      <c r="I115" s="78">
        <f t="shared" si="51" ref="I115:M115">I64+I78+I86+I91+I109+I112</f>
        <v>13526150.554729721</v>
      </c>
      <c r="J115" s="78">
        <f>J64+J78+J86+J91+J109+J112</f>
        <v>13797014.808630083</v>
      </c>
      <c r="K115" s="78">
        <f>K64+K78+K86+K91+K109+K112</f>
        <v>14077474.989584342</v>
      </c>
      <c r="L115" s="78">
        <f>L64+L78+L86+L91+L109+L112</f>
        <v>14363716.066685425</v>
      </c>
      <c r="M115" s="78">
        <f>M64+M78+M86+M91+M109+M112</f>
        <v>14661133.272738565</v>
      </c>
      <c r="N115" s="140" t="s">
        <v>29</v>
      </c>
      <c r="R115" s="268">
        <v>5635</v>
      </c>
      <c r="S115" s="269" t="s">
        <v>75</v>
      </c>
      <c r="T115" s="273">
        <v>99376.560000000012</v>
      </c>
      <c r="U115" s="273">
        <v>101364.09120000001</v>
      </c>
      <c r="V115" s="273">
        <v>103492.73711520001</v>
      </c>
      <c r="W115" s="273">
        <v>105666.08459461921</v>
      </c>
      <c r="X115" s="273">
        <v>107885.07237110622</v>
      </c>
      <c r="Y115" s="273">
        <v>110150.65889089945</v>
      </c>
    </row>
    <row r="116" spans="3:25" ht="13">
      <c r="C116" s="139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135"/>
      <c r="R116" s="268">
        <v>5640</v>
      </c>
      <c r="S116" s="269" t="s">
        <v>63</v>
      </c>
      <c r="T116" s="273">
        <v>209500.79999999996</v>
      </c>
      <c r="U116" s="273">
        <v>213690.81599999996</v>
      </c>
      <c r="V116" s="273">
        <v>218178.32313599996</v>
      </c>
      <c r="W116" s="273">
        <v>222760.06792185595</v>
      </c>
      <c r="X116" s="273">
        <v>227438.02934821494</v>
      </c>
      <c r="Y116" s="273">
        <v>232214.22796452744</v>
      </c>
    </row>
    <row r="117" spans="3:25" ht="13">
      <c r="C117" s="139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135"/>
      <c r="R117" s="268">
        <v>5645</v>
      </c>
      <c r="S117" s="270" t="s">
        <v>241</v>
      </c>
      <c r="T117" s="273">
        <v>981032.31160000002</v>
      </c>
      <c r="U117" s="273">
        <v>998897.82840959984</v>
      </c>
      <c r="V117" s="273">
        <v>1019779.0666837919</v>
      </c>
      <c r="W117" s="273">
        <v>1041204.6870927915</v>
      </c>
      <c r="X117" s="273">
        <v>1063080.4507305529</v>
      </c>
      <c r="Y117" s="273">
        <v>1085415.8147088834</v>
      </c>
    </row>
    <row r="118" spans="3:25" ht="13">
      <c r="C118" s="139"/>
      <c r="D118" s="81"/>
      <c r="E118" s="81"/>
      <c r="F118" s="58">
        <v>5014</v>
      </c>
      <c r="G118" s="57">
        <f>G47</f>
        <v>0</v>
      </c>
      <c r="H118" s="57">
        <f t="shared" si="52" ref="H118:L118">H47</f>
        <v>0</v>
      </c>
      <c r="I118" s="57">
        <f>I47</f>
        <v>0</v>
      </c>
      <c r="J118" s="57">
        <f>J47</f>
        <v>0</v>
      </c>
      <c r="K118" s="57">
        <f>K47</f>
        <v>0</v>
      </c>
      <c r="L118" s="57">
        <f>L47</f>
        <v>0</v>
      </c>
      <c r="M118" s="57">
        <f t="shared" si="53" ref="M118">M47</f>
        <v>0</v>
      </c>
      <c r="N118" s="140" t="s">
        <v>29</v>
      </c>
      <c r="R118" s="268">
        <v>5646</v>
      </c>
      <c r="S118" s="270" t="s">
        <v>242</v>
      </c>
      <c r="T118" s="273">
        <v>0</v>
      </c>
      <c r="U118" s="273">
        <v>0</v>
      </c>
      <c r="V118" s="273">
        <v>0</v>
      </c>
      <c r="W118" s="273">
        <v>0</v>
      </c>
      <c r="X118" s="273">
        <v>0</v>
      </c>
      <c r="Y118" s="273">
        <v>0</v>
      </c>
    </row>
    <row r="119" spans="3:25" ht="13">
      <c r="C119" s="139"/>
      <c r="D119" s="81"/>
      <c r="F119" s="58">
        <v>5015</v>
      </c>
      <c r="G119" s="57">
        <f>G48</f>
        <v>0</v>
      </c>
      <c r="H119" s="57">
        <f t="shared" si="54" ref="H119:L119">H48</f>
        <v>0</v>
      </c>
      <c r="I119" s="57">
        <f>I48</f>
        <v>0</v>
      </c>
      <c r="J119" s="57">
        <f>J48</f>
        <v>0</v>
      </c>
      <c r="K119" s="57">
        <f>K48</f>
        <v>0</v>
      </c>
      <c r="L119" s="57">
        <f>L48</f>
        <v>0</v>
      </c>
      <c r="M119" s="57">
        <f t="shared" si="55" ref="M119">M48</f>
        <v>0</v>
      </c>
      <c r="N119" s="140" t="s">
        <v>29</v>
      </c>
      <c r="R119" s="268">
        <v>5647</v>
      </c>
      <c r="S119" s="270" t="s">
        <v>243</v>
      </c>
      <c r="T119" s="273">
        <v>0</v>
      </c>
      <c r="U119" s="273">
        <v>0</v>
      </c>
      <c r="V119" s="273">
        <v>0</v>
      </c>
      <c r="W119" s="273">
        <v>0</v>
      </c>
      <c r="X119" s="273">
        <v>0</v>
      </c>
      <c r="Y119" s="273">
        <v>0</v>
      </c>
    </row>
    <row r="120" spans="3:25" ht="13">
      <c r="C120" s="139"/>
      <c r="D120" s="81"/>
      <c r="F120" s="58">
        <v>5112</v>
      </c>
      <c r="G120" s="57">
        <f>G67</f>
        <v>0</v>
      </c>
      <c r="H120" s="57">
        <f t="shared" si="56" ref="H120:L120">H67</f>
        <v>0</v>
      </c>
      <c r="I120" s="57">
        <f>I67</f>
        <v>0</v>
      </c>
      <c r="J120" s="57">
        <f>J67</f>
        <v>0</v>
      </c>
      <c r="K120" s="57">
        <f>K67</f>
        <v>0</v>
      </c>
      <c r="L120" s="57">
        <f>L67</f>
        <v>0</v>
      </c>
      <c r="M120" s="57">
        <f t="shared" si="57" ref="M120">M67</f>
        <v>0</v>
      </c>
      <c r="N120" s="140" t="s">
        <v>29</v>
      </c>
      <c r="R120" s="268">
        <v>5650</v>
      </c>
      <c r="S120" s="269" t="s">
        <v>67</v>
      </c>
      <c r="T120" s="273">
        <v>0</v>
      </c>
      <c r="U120" s="273">
        <v>0</v>
      </c>
      <c r="V120" s="273">
        <v>0</v>
      </c>
      <c r="W120" s="273">
        <v>0</v>
      </c>
      <c r="X120" s="273">
        <v>0</v>
      </c>
      <c r="Y120" s="273">
        <v>0</v>
      </c>
    </row>
    <row r="121" spans="3:25" ht="13">
      <c r="C121" s="139"/>
      <c r="D121" s="74"/>
      <c r="E121" s="152" t="s">
        <v>195</v>
      </c>
      <c r="F121" s="77" t="s">
        <v>82</v>
      </c>
      <c r="G121" s="105">
        <f>'Benchmarking Calculations'!F87</f>
        <v>0</v>
      </c>
      <c r="H121" s="105">
        <f>H47+H48+H67</f>
        <v>0</v>
      </c>
      <c r="I121" s="105">
        <f t="shared" si="58" ref="I121:L121">I47+I48+I67</f>
        <v>0</v>
      </c>
      <c r="J121" s="105">
        <f>J47+J48+J67</f>
        <v>0</v>
      </c>
      <c r="K121" s="105">
        <f>K47+K48+K67</f>
        <v>0</v>
      </c>
      <c r="L121" s="105">
        <f>L47+L48+L67</f>
        <v>0</v>
      </c>
      <c r="M121" s="105">
        <f t="shared" si="59" ref="M121">M47+M48+M67</f>
        <v>0</v>
      </c>
      <c r="N121" s="153" t="s">
        <v>29</v>
      </c>
      <c r="R121" s="268">
        <v>5655</v>
      </c>
      <c r="S121" s="269" t="s">
        <v>68</v>
      </c>
      <c r="T121" s="273">
        <v>152558.13999999999</v>
      </c>
      <c r="U121" s="273">
        <v>415032.26666666666</v>
      </c>
      <c r="V121" s="273">
        <v>420859.24166666664</v>
      </c>
      <c r="W121" s="273">
        <v>426808.58314166666</v>
      </c>
      <c r="X121" s="273">
        <v>432882.86078764166</v>
      </c>
      <c r="Y121" s="273">
        <v>439084.69826418214</v>
      </c>
    </row>
    <row r="122" spans="3:25" ht="13">
      <c r="C122" s="139"/>
      <c r="D122" s="74"/>
      <c r="E122" s="154" t="s">
        <v>196</v>
      </c>
      <c r="F122" s="77" t="s">
        <v>83</v>
      </c>
      <c r="G122" s="105">
        <f>'Benchmarking Calculations'!F88</f>
        <v>0</v>
      </c>
      <c r="H122" s="155">
        <f>G122</f>
        <v>0</v>
      </c>
      <c r="I122" s="155">
        <f t="shared" si="60" ref="I122:M122">H122</f>
        <v>0</v>
      </c>
      <c r="J122" s="155">
        <f>I122</f>
        <v>0</v>
      </c>
      <c r="K122" s="155">
        <f>J122</f>
        <v>0</v>
      </c>
      <c r="L122" s="155">
        <f>K122</f>
        <v>0</v>
      </c>
      <c r="M122" s="155">
        <f>L122</f>
        <v>0</v>
      </c>
      <c r="N122" s="156" t="s">
        <v>168</v>
      </c>
      <c r="R122" s="268">
        <v>5660</v>
      </c>
      <c r="S122" s="269" t="s">
        <v>244</v>
      </c>
      <c r="T122" s="273">
        <v>0</v>
      </c>
      <c r="U122" s="273">
        <v>0</v>
      </c>
      <c r="V122" s="273">
        <v>0</v>
      </c>
      <c r="W122" s="273">
        <v>0</v>
      </c>
      <c r="X122" s="273">
        <v>0</v>
      </c>
      <c r="Y122" s="273">
        <v>0</v>
      </c>
    </row>
    <row r="123" spans="3:25" ht="13.5" thickBot="1">
      <c r="C123" s="141"/>
      <c r="D123" s="142"/>
      <c r="E123" s="142"/>
      <c r="F123" s="143"/>
      <c r="G123" s="137"/>
      <c r="H123" s="144"/>
      <c r="I123" s="145"/>
      <c r="J123" s="72"/>
      <c r="K123" s="72"/>
      <c r="L123" s="72"/>
      <c r="M123" s="72"/>
      <c r="N123" s="138"/>
      <c r="R123" s="268">
        <v>5665</v>
      </c>
      <c r="S123" s="269" t="s">
        <v>245</v>
      </c>
      <c r="T123" s="273">
        <v>163269.07999999996</v>
      </c>
      <c r="U123" s="273">
        <v>166534.46159999998</v>
      </c>
      <c r="V123" s="273">
        <v>170031.68529359999</v>
      </c>
      <c r="W123" s="273">
        <v>173602.35068476561</v>
      </c>
      <c r="X123" s="273">
        <v>177248.00004914569</v>
      </c>
      <c r="Y123" s="273">
        <v>180970.20805017772</v>
      </c>
    </row>
    <row r="124" spans="3:25" ht="13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  <c r="R124" s="268">
        <v>5670</v>
      </c>
      <c r="S124" s="269" t="s">
        <v>246</v>
      </c>
      <c r="T124" s="273">
        <v>335258.52000000002</v>
      </c>
      <c r="U124" s="273">
        <v>341963.69040000002</v>
      </c>
      <c r="V124" s="273">
        <v>349144.9278984</v>
      </c>
      <c r="W124" s="273">
        <v>356476.97138426639</v>
      </c>
      <c r="X124" s="273">
        <v>363962.98778333596</v>
      </c>
      <c r="Y124" s="273">
        <v>371606.21052678605</v>
      </c>
    </row>
    <row r="125" spans="18:25" ht="13">
      <c r="R125" s="268">
        <v>5672</v>
      </c>
      <c r="S125" s="269" t="s">
        <v>71</v>
      </c>
      <c r="T125" s="273">
        <v>0</v>
      </c>
      <c r="U125" s="273">
        <v>0</v>
      </c>
      <c r="V125" s="273">
        <v>0</v>
      </c>
      <c r="W125" s="273">
        <v>0</v>
      </c>
      <c r="X125" s="273">
        <v>0</v>
      </c>
      <c r="Y125" s="273">
        <v>0</v>
      </c>
    </row>
    <row r="126" spans="18:25" ht="13">
      <c r="R126" s="268">
        <v>5675</v>
      </c>
      <c r="S126" s="269" t="s">
        <v>72</v>
      </c>
      <c r="T126" s="273">
        <v>891534.84000000008</v>
      </c>
      <c r="U126" s="273">
        <v>908763.96575999993</v>
      </c>
      <c r="V126" s="273">
        <v>926877.06937488017</v>
      </c>
      <c r="W126" s="273">
        <v>945406.35407206684</v>
      </c>
      <c r="X126" s="273">
        <v>964307.92134022072</v>
      </c>
      <c r="Y126" s="273">
        <v>983533.6328092711</v>
      </c>
    </row>
    <row r="127" spans="18:25" ht="13">
      <c r="R127" s="268">
        <v>5680</v>
      </c>
      <c r="S127" s="269" t="s">
        <v>73</v>
      </c>
      <c r="T127" s="273">
        <v>0</v>
      </c>
      <c r="U127" s="273">
        <v>0</v>
      </c>
      <c r="V127" s="273">
        <v>0</v>
      </c>
      <c r="W127" s="273">
        <v>0</v>
      </c>
      <c r="X127" s="273">
        <v>0</v>
      </c>
      <c r="Y127" s="273">
        <v>0</v>
      </c>
    </row>
    <row r="128" spans="18:25" ht="13">
      <c r="R128" s="268">
        <v>5681</v>
      </c>
      <c r="S128" s="269" t="s">
        <v>247</v>
      </c>
      <c r="T128" s="273">
        <v>0</v>
      </c>
      <c r="U128" s="273">
        <v>0</v>
      </c>
      <c r="V128" s="273">
        <v>0</v>
      </c>
      <c r="W128" s="273">
        <v>0</v>
      </c>
      <c r="X128" s="273">
        <v>0</v>
      </c>
      <c r="Y128" s="273">
        <v>0</v>
      </c>
    </row>
    <row r="129" spans="18:25" ht="13">
      <c r="R129" s="268">
        <v>5685</v>
      </c>
      <c r="S129" s="269" t="s">
        <v>248</v>
      </c>
      <c r="T129" s="273">
        <v>0</v>
      </c>
      <c r="U129" s="273">
        <v>0</v>
      </c>
      <c r="V129" s="273">
        <v>0</v>
      </c>
      <c r="W129" s="273">
        <v>0</v>
      </c>
      <c r="X129" s="273">
        <v>0</v>
      </c>
      <c r="Y129" s="273">
        <v>0</v>
      </c>
    </row>
    <row r="130" spans="18:25" ht="13">
      <c r="R130" s="268">
        <v>5695</v>
      </c>
      <c r="S130" s="269" t="s">
        <v>249</v>
      </c>
      <c r="T130" s="273">
        <v>0</v>
      </c>
      <c r="U130" s="273">
        <v>0</v>
      </c>
      <c r="V130" s="273">
        <v>0</v>
      </c>
      <c r="W130" s="273">
        <v>0</v>
      </c>
      <c r="X130" s="273">
        <v>0</v>
      </c>
      <c r="Y130" s="273">
        <v>0</v>
      </c>
    </row>
    <row r="131" spans="18:25" ht="13">
      <c r="R131" s="266"/>
      <c r="S131" s="267" t="s">
        <v>250</v>
      </c>
      <c r="T131" s="273"/>
      <c r="U131" s="273"/>
      <c r="V131" s="273"/>
      <c r="W131" s="273"/>
      <c r="X131" s="273"/>
      <c r="Y131" s="273"/>
    </row>
    <row r="132" spans="18:25" ht="13">
      <c r="R132" s="268">
        <v>5705</v>
      </c>
      <c r="S132" s="269" t="s">
        <v>251</v>
      </c>
      <c r="T132" s="273">
        <v>5881374.0767309088</v>
      </c>
      <c r="U132" s="273">
        <v>6134262.9233773313</v>
      </c>
      <c r="V132" s="273">
        <v>6220678.7573361788</v>
      </c>
      <c r="W132" s="273">
        <v>6664196.752336178</v>
      </c>
      <c r="X132" s="273">
        <v>7109404.0023361789</v>
      </c>
      <c r="Y132" s="273">
        <v>7552494.3773361789</v>
      </c>
    </row>
    <row r="133" spans="18:25" ht="13">
      <c r="R133" s="268">
        <v>5710</v>
      </c>
      <c r="S133" s="269" t="s">
        <v>252</v>
      </c>
      <c r="T133" s="273">
        <v>0</v>
      </c>
      <c r="U133" s="273">
        <v>0</v>
      </c>
      <c r="V133" s="273">
        <v>0</v>
      </c>
      <c r="W133" s="273">
        <v>0</v>
      </c>
      <c r="X133" s="273">
        <v>0</v>
      </c>
      <c r="Y133" s="273">
        <v>0</v>
      </c>
    </row>
    <row r="134" spans="18:25" ht="13">
      <c r="R134" s="268">
        <v>5715</v>
      </c>
      <c r="S134" s="269" t="s">
        <v>253</v>
      </c>
      <c r="T134" s="273">
        <v>82734.100000000006</v>
      </c>
      <c r="U134" s="273">
        <v>82734.100000000006</v>
      </c>
      <c r="V134" s="273">
        <v>0</v>
      </c>
      <c r="W134" s="273">
        <v>0</v>
      </c>
      <c r="X134" s="273">
        <v>0</v>
      </c>
      <c r="Y134" s="273">
        <v>0</v>
      </c>
    </row>
    <row r="135" spans="18:25" ht="13">
      <c r="R135" s="268">
        <v>5720</v>
      </c>
      <c r="S135" s="269" t="s">
        <v>254</v>
      </c>
      <c r="T135" s="273">
        <v>0</v>
      </c>
      <c r="U135" s="273">
        <v>0</v>
      </c>
      <c r="V135" s="273">
        <v>0</v>
      </c>
      <c r="W135" s="273">
        <v>0</v>
      </c>
      <c r="X135" s="273">
        <v>0</v>
      </c>
      <c r="Y135" s="273">
        <v>0</v>
      </c>
    </row>
    <row r="136" spans="18:25" ht="13">
      <c r="R136" s="268">
        <v>5725</v>
      </c>
      <c r="S136" s="269" t="s">
        <v>255</v>
      </c>
      <c r="T136" s="273">
        <v>0</v>
      </c>
      <c r="U136" s="273">
        <v>0</v>
      </c>
      <c r="V136" s="273">
        <v>0</v>
      </c>
      <c r="W136" s="273">
        <v>0</v>
      </c>
      <c r="X136" s="273">
        <v>0</v>
      </c>
      <c r="Y136" s="273">
        <v>0</v>
      </c>
    </row>
    <row r="137" spans="18:25" ht="13">
      <c r="R137" s="268">
        <v>5730</v>
      </c>
      <c r="S137" s="269" t="s">
        <v>256</v>
      </c>
      <c r="T137" s="273">
        <v>0</v>
      </c>
      <c r="U137" s="273">
        <v>0</v>
      </c>
      <c r="V137" s="273">
        <v>0</v>
      </c>
      <c r="W137" s="273">
        <v>0</v>
      </c>
      <c r="X137" s="273">
        <v>0</v>
      </c>
      <c r="Y137" s="273">
        <v>0</v>
      </c>
    </row>
    <row r="138" spans="18:25" ht="13">
      <c r="R138" s="268">
        <v>5740</v>
      </c>
      <c r="S138" s="269" t="s">
        <v>257</v>
      </c>
      <c r="T138" s="273">
        <v>0</v>
      </c>
      <c r="U138" s="273">
        <v>0</v>
      </c>
      <c r="V138" s="273">
        <v>0</v>
      </c>
      <c r="W138" s="273">
        <v>0</v>
      </c>
      <c r="X138" s="273">
        <v>0</v>
      </c>
      <c r="Y138" s="273">
        <v>0</v>
      </c>
    </row>
    <row r="139" spans="18:25" ht="13">
      <c r="R139" s="266"/>
      <c r="S139" s="267" t="s">
        <v>258</v>
      </c>
      <c r="T139" s="273"/>
      <c r="U139" s="273"/>
      <c r="V139" s="273"/>
      <c r="W139" s="273"/>
      <c r="X139" s="273"/>
      <c r="Y139" s="273"/>
    </row>
    <row r="140" spans="18:25" ht="13">
      <c r="R140" s="268">
        <v>6005</v>
      </c>
      <c r="S140" s="269" t="s">
        <v>259</v>
      </c>
      <c r="T140" s="273">
        <v>2271765.4969863012</v>
      </c>
      <c r="U140" s="273">
        <v>2593205.2230136986</v>
      </c>
      <c r="V140" s="273">
        <v>2792005.3599999999</v>
      </c>
      <c r="W140" s="273">
        <v>3127450.3599999999</v>
      </c>
      <c r="X140" s="273">
        <v>3448450.3599999994</v>
      </c>
      <c r="Y140" s="273">
        <v>3673150.3599999994</v>
      </c>
    </row>
    <row r="141" spans="18:25" ht="13">
      <c r="R141" s="268">
        <v>6010</v>
      </c>
      <c r="S141" s="269" t="s">
        <v>260</v>
      </c>
      <c r="T141" s="273">
        <v>0</v>
      </c>
      <c r="U141" s="273">
        <v>0</v>
      </c>
      <c r="V141" s="273">
        <v>0</v>
      </c>
      <c r="W141" s="273">
        <v>0</v>
      </c>
      <c r="X141" s="273">
        <v>0</v>
      </c>
      <c r="Y141" s="273">
        <v>0</v>
      </c>
    </row>
    <row r="142" spans="18:25" ht="13">
      <c r="R142" s="268">
        <v>6015</v>
      </c>
      <c r="S142" s="269" t="s">
        <v>261</v>
      </c>
      <c r="T142" s="273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</row>
    <row r="143" spans="18:25" ht="13">
      <c r="R143" s="268">
        <v>6020</v>
      </c>
      <c r="S143" s="269" t="s">
        <v>262</v>
      </c>
      <c r="T143" s="273">
        <v>0</v>
      </c>
      <c r="U143" s="273">
        <v>0</v>
      </c>
      <c r="V143" s="273">
        <v>0</v>
      </c>
      <c r="W143" s="273">
        <v>0</v>
      </c>
      <c r="X143" s="273">
        <v>0</v>
      </c>
      <c r="Y143" s="273">
        <v>0</v>
      </c>
    </row>
    <row r="144" spans="18:25" ht="13">
      <c r="R144" s="268">
        <v>6025</v>
      </c>
      <c r="S144" s="269" t="s">
        <v>263</v>
      </c>
      <c r="T144" s="273">
        <v>0</v>
      </c>
      <c r="U144" s="273">
        <v>0</v>
      </c>
      <c r="V144" s="273">
        <v>0</v>
      </c>
      <c r="W144" s="273">
        <v>0</v>
      </c>
      <c r="X144" s="273">
        <v>0</v>
      </c>
      <c r="Y144" s="273">
        <v>0</v>
      </c>
    </row>
    <row r="145" spans="18:25" ht="13">
      <c r="R145" s="268">
        <v>6030</v>
      </c>
      <c r="S145" s="269" t="s">
        <v>264</v>
      </c>
      <c r="T145" s="273">
        <v>0</v>
      </c>
      <c r="U145" s="273">
        <v>0</v>
      </c>
      <c r="V145" s="273">
        <v>0</v>
      </c>
      <c r="W145" s="273">
        <v>0</v>
      </c>
      <c r="X145" s="273">
        <v>0</v>
      </c>
      <c r="Y145" s="273">
        <v>0</v>
      </c>
    </row>
    <row r="146" spans="18:25" ht="13">
      <c r="R146" s="268">
        <v>6035</v>
      </c>
      <c r="S146" s="269" t="s">
        <v>265</v>
      </c>
      <c r="T146" s="273">
        <v>173125.67999999999</v>
      </c>
      <c r="U146" s="273">
        <v>173125.67999999999</v>
      </c>
      <c r="V146" s="273">
        <v>173125.67999999999</v>
      </c>
      <c r="W146" s="273">
        <v>173125.67999999999</v>
      </c>
      <c r="X146" s="273">
        <v>173125.67999999999</v>
      </c>
      <c r="Y146" s="273">
        <v>173125.67999999999</v>
      </c>
    </row>
    <row r="147" spans="18:25" ht="13">
      <c r="R147" s="268">
        <v>6040</v>
      </c>
      <c r="S147" s="269" t="s">
        <v>266</v>
      </c>
      <c r="T147" s="273">
        <v>-302682.59999999992</v>
      </c>
      <c r="U147" s="273">
        <v>-302682.59999999992</v>
      </c>
      <c r="V147" s="273">
        <v>-302682.59999999992</v>
      </c>
      <c r="W147" s="273">
        <v>-302682.59999999992</v>
      </c>
      <c r="X147" s="273">
        <v>-302682.59999999992</v>
      </c>
      <c r="Y147" s="273">
        <v>-302682.59999999992</v>
      </c>
    </row>
    <row r="148" spans="18:25" ht="13">
      <c r="R148" s="268">
        <v>6042</v>
      </c>
      <c r="S148" s="269" t="s">
        <v>267</v>
      </c>
      <c r="T148" s="273">
        <v>0</v>
      </c>
      <c r="U148" s="273">
        <v>0</v>
      </c>
      <c r="V148" s="273">
        <v>0</v>
      </c>
      <c r="W148" s="273">
        <v>0</v>
      </c>
      <c r="X148" s="273">
        <v>0</v>
      </c>
      <c r="Y148" s="273">
        <v>0</v>
      </c>
    </row>
    <row r="149" spans="18:25" ht="13">
      <c r="R149" s="268">
        <v>6045</v>
      </c>
      <c r="S149" s="269" t="s">
        <v>268</v>
      </c>
      <c r="T149" s="273">
        <v>0</v>
      </c>
      <c r="U149" s="273">
        <v>0</v>
      </c>
      <c r="V149" s="273">
        <v>0</v>
      </c>
      <c r="W149" s="273">
        <v>0</v>
      </c>
      <c r="X149" s="273">
        <v>0</v>
      </c>
      <c r="Y149" s="273">
        <v>0</v>
      </c>
    </row>
    <row r="150" spans="18:25" ht="13">
      <c r="R150" s="266"/>
      <c r="S150" s="267" t="s">
        <v>269</v>
      </c>
      <c r="T150" s="273"/>
      <c r="U150" s="273"/>
      <c r="V150" s="273"/>
      <c r="W150" s="273"/>
      <c r="X150" s="273"/>
      <c r="Y150" s="273"/>
    </row>
    <row r="151" spans="18:25" ht="13">
      <c r="R151" s="268">
        <v>6105</v>
      </c>
      <c r="S151" s="269" t="s">
        <v>270</v>
      </c>
      <c r="T151" s="273">
        <v>149114.23860000001</v>
      </c>
      <c r="U151" s="273">
        <v>152096.52337200003</v>
      </c>
      <c r="V151" s="273">
        <v>155290.55036281204</v>
      </c>
      <c r="W151" s="273">
        <v>168472.52681144458</v>
      </c>
      <c r="X151" s="273">
        <v>172010.44987448491</v>
      </c>
      <c r="Y151" s="273">
        <v>175622.6693218491</v>
      </c>
    </row>
    <row r="152" spans="18:25" ht="13">
      <c r="R152" s="268">
        <v>6110</v>
      </c>
      <c r="S152" s="269" t="s">
        <v>271</v>
      </c>
      <c r="T152" s="273">
        <v>0</v>
      </c>
      <c r="U152" s="273">
        <v>0</v>
      </c>
      <c r="V152" s="273">
        <v>0</v>
      </c>
      <c r="W152" s="273">
        <v>0</v>
      </c>
      <c r="X152" s="273">
        <v>61811.739765649007</v>
      </c>
      <c r="Y152" s="273">
        <v>195607.28080795569</v>
      </c>
    </row>
    <row r="153" spans="18:25" ht="13">
      <c r="R153" s="268">
        <v>6115</v>
      </c>
      <c r="S153" s="269" t="s">
        <v>272</v>
      </c>
      <c r="T153" s="273">
        <v>0</v>
      </c>
      <c r="U153" s="273">
        <v>0</v>
      </c>
      <c r="V153" s="273">
        <v>0</v>
      </c>
      <c r="W153" s="273">
        <v>0</v>
      </c>
      <c r="X153" s="273">
        <v>0</v>
      </c>
      <c r="Y153" s="273">
        <v>0</v>
      </c>
    </row>
    <row r="154" spans="18:25" ht="13">
      <c r="R154" s="266"/>
      <c r="S154" s="267" t="s">
        <v>273</v>
      </c>
      <c r="T154" s="273"/>
      <c r="U154" s="273"/>
      <c r="V154" s="273"/>
      <c r="W154" s="273"/>
      <c r="X154" s="273"/>
      <c r="Y154" s="273"/>
    </row>
    <row r="155" spans="18:25" ht="13">
      <c r="R155" s="268">
        <v>6205</v>
      </c>
      <c r="S155" s="269" t="s">
        <v>274</v>
      </c>
      <c r="T155" s="273">
        <v>33916.172472545215</v>
      </c>
      <c r="U155" s="273">
        <v>34373.573841347505</v>
      </c>
      <c r="V155" s="273">
        <v>35408.131416563978</v>
      </c>
      <c r="W155" s="273">
        <v>32478.756907871149</v>
      </c>
      <c r="X155" s="273">
        <v>38787.459755583717</v>
      </c>
      <c r="Y155" s="273">
        <v>38787.459755583717</v>
      </c>
    </row>
    <row r="156" spans="18:25" ht="13">
      <c r="R156" s="268">
        <v>6210</v>
      </c>
      <c r="S156" s="269" t="s">
        <v>76</v>
      </c>
      <c r="T156" s="273">
        <v>0</v>
      </c>
      <c r="U156" s="273">
        <v>0</v>
      </c>
      <c r="V156" s="273">
        <v>0</v>
      </c>
      <c r="W156" s="273">
        <v>0</v>
      </c>
      <c r="X156" s="273">
        <v>0</v>
      </c>
      <c r="Y156" s="273">
        <v>0</v>
      </c>
    </row>
    <row r="157" spans="18:25" ht="13">
      <c r="R157" s="268">
        <v>6215</v>
      </c>
      <c r="S157" s="269" t="s">
        <v>275</v>
      </c>
      <c r="T157" s="273">
        <v>0</v>
      </c>
      <c r="U157" s="273">
        <v>0</v>
      </c>
      <c r="V157" s="273">
        <v>0</v>
      </c>
      <c r="W157" s="273">
        <v>0</v>
      </c>
      <c r="X157" s="273">
        <v>0</v>
      </c>
      <c r="Y157" s="273">
        <v>0</v>
      </c>
    </row>
    <row r="158" spans="18:25" ht="13">
      <c r="R158" s="268">
        <v>6225</v>
      </c>
      <c r="S158" s="269" t="s">
        <v>273</v>
      </c>
      <c r="T158" s="273">
        <v>0</v>
      </c>
      <c r="U158" s="273">
        <v>0</v>
      </c>
      <c r="V158" s="273">
        <v>0</v>
      </c>
      <c r="W158" s="273">
        <v>0</v>
      </c>
      <c r="X158" s="273">
        <v>0</v>
      </c>
      <c r="Y158" s="273">
        <v>0</v>
      </c>
    </row>
    <row r="159" spans="18:25" ht="13">
      <c r="R159" s="266"/>
      <c r="S159" s="267" t="s">
        <v>276</v>
      </c>
      <c r="T159" s="273"/>
      <c r="U159" s="273"/>
      <c r="V159" s="273"/>
      <c r="W159" s="273"/>
      <c r="X159" s="273"/>
      <c r="Y159" s="273"/>
    </row>
    <row r="160" spans="18:25" ht="13">
      <c r="R160" s="268">
        <v>6305</v>
      </c>
      <c r="S160" s="269" t="s">
        <v>277</v>
      </c>
      <c r="T160" s="273">
        <v>0</v>
      </c>
      <c r="U160" s="273">
        <v>0</v>
      </c>
      <c r="V160" s="273">
        <v>0</v>
      </c>
      <c r="W160" s="273">
        <v>0</v>
      </c>
      <c r="X160" s="273">
        <v>0</v>
      </c>
      <c r="Y160" s="273">
        <v>0</v>
      </c>
    </row>
    <row r="161" spans="18:25" ht="13">
      <c r="R161" s="268">
        <v>6310</v>
      </c>
      <c r="S161" s="269" t="s">
        <v>278</v>
      </c>
      <c r="T161" s="273">
        <v>0</v>
      </c>
      <c r="U161" s="273">
        <v>0</v>
      </c>
      <c r="V161" s="273">
        <v>0</v>
      </c>
      <c r="W161" s="273">
        <v>0</v>
      </c>
      <c r="X161" s="273">
        <v>0</v>
      </c>
      <c r="Y161" s="273">
        <v>0</v>
      </c>
    </row>
    <row r="162" spans="18:25" ht="13">
      <c r="R162" s="268">
        <v>6315</v>
      </c>
      <c r="S162" s="269" t="s">
        <v>279</v>
      </c>
      <c r="T162" s="273">
        <v>0</v>
      </c>
      <c r="U162" s="273">
        <v>0</v>
      </c>
      <c r="V162" s="273">
        <v>0</v>
      </c>
      <c r="W162" s="273">
        <v>0</v>
      </c>
      <c r="X162" s="273">
        <v>0</v>
      </c>
      <c r="Y162" s="273">
        <v>0</v>
      </c>
    </row>
    <row r="163" spans="18:19" ht="13">
      <c r="R163" s="266"/>
      <c r="S163" s="267" t="s">
        <v>280</v>
      </c>
    </row>
    <row r="164" spans="18:19" ht="13">
      <c r="R164" s="268">
        <v>6405</v>
      </c>
      <c r="S164" s="269" t="s">
        <v>281</v>
      </c>
    </row>
    <row r="165" spans="18:19" ht="13">
      <c r="R165" s="268">
        <v>6410</v>
      </c>
      <c r="S165" s="269" t="s">
        <v>282</v>
      </c>
    </row>
    <row r="166" spans="18:19" ht="13">
      <c r="R166" s="268">
        <v>6415</v>
      </c>
      <c r="S166" s="269" t="s">
        <v>283</v>
      </c>
    </row>
    <row r="167" spans="18:19" ht="13">
      <c r="R167" s="266"/>
      <c r="S167" s="267" t="s">
        <v>284</v>
      </c>
    </row>
    <row r="168" spans="18:19" ht="13">
      <c r="R168" s="268">
        <v>7005</v>
      </c>
      <c r="S168" s="269" t="s">
        <v>285</v>
      </c>
    </row>
    <row r="169" spans="18:19" ht="13">
      <c r="R169" s="268">
        <v>7010</v>
      </c>
      <c r="S169" s="269" t="s">
        <v>286</v>
      </c>
    </row>
    <row r="170" spans="18:19" ht="13">
      <c r="R170" s="268">
        <v>7020</v>
      </c>
      <c r="S170" s="269" t="s">
        <v>287</v>
      </c>
    </row>
    <row r="171" spans="18:19" ht="13">
      <c r="R171" s="268">
        <v>7025</v>
      </c>
      <c r="S171" s="269" t="s">
        <v>288</v>
      </c>
    </row>
    <row r="172" spans="18:19" ht="13">
      <c r="R172" s="268">
        <v>7030</v>
      </c>
      <c r="S172" s="269" t="s">
        <v>289</v>
      </c>
    </row>
    <row r="173" spans="18:19" ht="13">
      <c r="R173" s="271"/>
      <c r="S173" s="272" t="s">
        <v>290</v>
      </c>
    </row>
  </sheetData>
  <mergeCells count="7">
    <mergeCell ref="O40:O43"/>
    <mergeCell ref="H34:M34"/>
    <mergeCell ref="C2:N2"/>
    <mergeCell ref="C3:N3"/>
    <mergeCell ref="J5:M5"/>
    <mergeCell ref="H8:M8"/>
    <mergeCell ref="H19:M19"/>
  </mergeCells>
  <dataValidations count="1">
    <dataValidation type="list" allowBlank="1" showInputMessage="1" showErrorMessage="1" sqref="F5">
      <formula1>'Benchmarking Calculations'!$P$3:$BW$3</formula1>
    </dataValidation>
  </dataValidations>
  <pageMargins left="0.7" right="0.7" top="0.75" bottom="0.75" header="0.3" footer="0.3"/>
  <pageSetup orientation="portrait" r:id="rId1"/>
  <ignoredErrors>
    <ignoredError sqref="H64:M64 H78:M78 H86:M86 H91:M91 H109:M109 H112:M112 H114:M1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CI265"/>
  <sheetViews>
    <sheetView workbookViewId="0" topLeftCell="A1">
      <pane ySplit="5" topLeftCell="A85" activePane="bottomLeft" state="frozen"/>
      <selection pane="topLeft" activeCell="G33" sqref="G33"/>
      <selection pane="bottomLeft" activeCell="G96" sqref="G96"/>
    </sheetView>
  </sheetViews>
  <sheetFormatPr defaultColWidth="9.18428571428571" defaultRowHeight="13.5" outlineLevelRow="1"/>
  <cols>
    <col min="1" max="1" width="6.57142857142857" customWidth="1"/>
    <col min="2" max="2" width="11.8571428571429" customWidth="1"/>
    <col min="3" max="3" width="17.2857142857143" customWidth="1"/>
    <col min="4" max="4" width="7" customWidth="1"/>
    <col min="5" max="5" width="55.4285714285714" style="2" customWidth="1"/>
    <col min="6" max="6" width="16" style="3" customWidth="1"/>
    <col min="7" max="10" width="16" customWidth="1"/>
    <col min="11" max="11" width="16.2857142857143" customWidth="1"/>
    <col min="12" max="12" width="16.7142857142857" customWidth="1"/>
    <col min="13" max="15" width="13.4285714285714" style="109" hidden="1" customWidth="1"/>
    <col min="16" max="16" width="17.1428571428571" style="109" hidden="1" customWidth="1"/>
    <col min="17" max="20" width="13.4285714285714" style="109" hidden="1" customWidth="1"/>
    <col min="21" max="86" width="9.14285714285714" hidden="1" customWidth="1"/>
    <col min="87" max="87" width="9.14285714285714" style="67" hidden="1" customWidth="1"/>
  </cols>
  <sheetData>
    <row r="1" spans="1:87" ht="26">
      <c r="A1" s="282" t="s">
        <v>0</v>
      </c>
      <c r="B1" s="282"/>
      <c r="C1" s="282"/>
      <c r="D1" s="282"/>
      <c r="E1" s="282"/>
      <c r="F1" s="282"/>
      <c r="G1" s="282"/>
      <c r="H1" s="282"/>
      <c r="I1" s="282"/>
      <c r="J1" s="282"/>
      <c r="M1" s="159"/>
      <c r="N1" s="159"/>
      <c r="O1" s="159"/>
      <c r="P1" s="159"/>
      <c r="Q1" s="159"/>
      <c r="R1" s="159"/>
      <c r="S1" s="159"/>
      <c r="T1" s="159"/>
      <c r="CI1" s="67"/>
    </row>
    <row r="2" spans="1:87" ht="17.5" thickBot="1">
      <c r="A2" s="1"/>
      <c r="B2" s="97"/>
      <c r="C2" s="3"/>
      <c r="D2" s="3"/>
      <c r="E2" s="9"/>
      <c r="M2" s="109"/>
      <c r="N2" s="109"/>
      <c r="O2" s="109"/>
      <c r="P2" s="109"/>
      <c r="Q2" s="109"/>
      <c r="R2" s="109"/>
      <c r="S2" s="109"/>
      <c r="T2" s="109"/>
      <c r="CI2" s="67"/>
    </row>
    <row r="3" spans="2:87" s="190" customFormat="1" ht="75.75" customHeight="1" thickBot="1">
      <c r="B3" s="283" t="s">
        <v>1</v>
      </c>
      <c r="C3" s="283"/>
      <c r="D3" s="188"/>
      <c r="E3" s="98" t="str">
        <f>'Model Inputs'!F5</f>
        <v>Oshawa PUC Networks Inc.</v>
      </c>
      <c r="F3" s="191"/>
      <c r="G3" s="192"/>
      <c r="H3" s="192"/>
      <c r="I3" s="192"/>
      <c r="J3" s="192"/>
      <c r="M3" s="189"/>
      <c r="N3" s="189"/>
      <c r="O3" s="189"/>
      <c r="P3" s="189"/>
      <c r="Q3" s="189"/>
      <c r="R3" s="189"/>
      <c r="S3" s="162"/>
      <c r="T3" s="162"/>
      <c r="U3" s="162"/>
      <c r="V3" s="162"/>
      <c r="W3" s="162"/>
      <c r="X3" s="162"/>
      <c r="Y3" s="162"/>
      <c r="Z3" s="162"/>
      <c r="AA3" s="162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0"/>
      <c r="CB3" s="190"/>
      <c r="CC3" s="190"/>
      <c r="CD3" s="190"/>
      <c r="CE3" s="190"/>
      <c r="CF3" s="190"/>
      <c r="CG3" s="190"/>
      <c r="CH3" s="190"/>
      <c r="CI3" s="230"/>
    </row>
    <row r="4" spans="5:87" s="224" customFormat="1" ht="101.25" customHeight="1">
      <c r="E4" s="225"/>
      <c r="F4" s="285"/>
      <c r="G4" s="286" t="s">
        <v>2</v>
      </c>
      <c r="H4" s="287"/>
      <c r="I4" s="287"/>
      <c r="J4" s="287"/>
      <c r="K4" s="287"/>
      <c r="L4" s="287"/>
      <c r="M4" s="228"/>
      <c r="N4" s="228"/>
      <c r="O4" s="228"/>
      <c r="P4" s="228"/>
      <c r="Q4" s="228"/>
      <c r="R4" s="228"/>
      <c r="S4" s="228"/>
      <c r="T4" s="228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31"/>
    </row>
    <row r="5" spans="2:87" ht="39">
      <c r="B5" s="5" t="s">
        <v>3</v>
      </c>
      <c r="D5" t="s">
        <v>4</v>
      </c>
      <c r="E5" s="2" t="s">
        <v>5</v>
      </c>
      <c r="F5" s="99">
        <v>2019</v>
      </c>
      <c r="G5" s="84">
        <f>F5+1</f>
        <v>2020</v>
      </c>
      <c r="H5" s="84">
        <f>G5+1</f>
        <v>2021</v>
      </c>
      <c r="I5" s="84">
        <f>H5+1</f>
        <v>2022</v>
      </c>
      <c r="J5" s="84">
        <f>I5+1</f>
        <v>2023</v>
      </c>
      <c r="K5" s="84">
        <f>J5+1</f>
        <v>2024</v>
      </c>
      <c r="L5" s="84">
        <f>K5+1</f>
        <v>2025</v>
      </c>
      <c r="M5" s="109"/>
      <c r="N5" s="109"/>
      <c r="O5" s="109"/>
      <c r="P5" s="109"/>
      <c r="Q5" s="109"/>
      <c r="R5" s="109"/>
      <c r="S5" s="109"/>
      <c r="T5" s="109"/>
      <c r="V5" s="51"/>
      <c r="CI5" s="67"/>
    </row>
    <row r="6" spans="2:87" ht="13">
      <c r="B6" s="5"/>
      <c r="F6" s="99"/>
      <c r="G6" s="6"/>
      <c r="H6" s="6"/>
      <c r="I6" s="6"/>
      <c r="J6" s="6"/>
      <c r="M6" s="109"/>
      <c r="N6" s="109"/>
      <c r="O6" s="109"/>
      <c r="P6" s="109"/>
      <c r="Q6" s="109"/>
      <c r="R6" s="109"/>
      <c r="S6" s="109"/>
      <c r="T6" s="109"/>
      <c r="CI6" s="67"/>
    </row>
    <row r="7" spans="1:87" s="3" customFormat="1" ht="13.5" thickBot="1">
      <c r="A7" s="281" t="s">
        <v>6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127"/>
      <c r="M7" s="96"/>
      <c r="N7" s="96"/>
      <c r="O7" s="96"/>
      <c r="P7" s="96"/>
      <c r="Q7" s="96"/>
      <c r="R7" s="96"/>
      <c r="S7" s="96"/>
      <c r="T7" s="96"/>
      <c r="U7" s="7"/>
      <c r="V7" s="7"/>
      <c r="W7" s="7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67"/>
    </row>
    <row r="8" spans="1:87" ht="25.5" customHeight="1" thickTop="1">
      <c r="A8" s="8"/>
      <c r="B8" s="3"/>
      <c r="M8" s="109"/>
      <c r="N8" s="109"/>
      <c r="O8" s="109"/>
      <c r="P8" s="109"/>
      <c r="Q8" s="109"/>
      <c r="R8" s="109"/>
      <c r="S8" s="109"/>
      <c r="T8" s="109"/>
      <c r="CI8" s="67"/>
    </row>
    <row r="9" spans="1:87" ht="13">
      <c r="A9" s="8"/>
      <c r="B9" s="9">
        <v>1</v>
      </c>
      <c r="C9" s="10" t="s">
        <v>7</v>
      </c>
      <c r="D9" s="10"/>
      <c r="M9" s="109"/>
      <c r="N9" s="109"/>
      <c r="O9" s="109"/>
      <c r="P9" s="109"/>
      <c r="Q9" s="109"/>
      <c r="R9" s="109"/>
      <c r="S9" s="109"/>
      <c r="T9" s="109"/>
      <c r="CI9" s="67"/>
    </row>
    <row r="10" spans="1:87" s="3" customFormat="1" ht="13" outlineLevel="1">
      <c r="A10" s="8"/>
      <c r="B10" s="9">
        <v>2</v>
      </c>
      <c r="C10" s="19">
        <v>5005</v>
      </c>
      <c r="D10" s="187">
        <v>2</v>
      </c>
      <c r="E10" s="19" t="s">
        <v>8</v>
      </c>
      <c r="F10" s="100">
        <f>HLOOKUP($E$3,$M$3:$T$261,#REF!,TRUE)</f>
        <v>813329</v>
      </c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67"/>
    </row>
    <row r="11" spans="1:87" ht="13" outlineLevel="1">
      <c r="A11" s="8"/>
      <c r="B11" s="9">
        <v>3</v>
      </c>
      <c r="C11" s="11">
        <v>5010</v>
      </c>
      <c r="D11" s="187">
        <v>3</v>
      </c>
      <c r="E11" s="11" t="s">
        <v>9</v>
      </c>
      <c r="F11" s="100">
        <f>HLOOKUP($E$3,$M$3:$T$261,#REF!,TRUE)</f>
        <v>0</v>
      </c>
      <c r="G11" s="14"/>
      <c r="H11" s="14"/>
      <c r="I11" s="14"/>
      <c r="J11" s="14"/>
      <c r="K11" s="14"/>
      <c r="L11" s="14"/>
      <c r="M11" s="200"/>
      <c r="N11" s="110"/>
      <c r="O11" s="110"/>
      <c r="P11" s="110"/>
      <c r="Q11" s="110"/>
      <c r="R11" s="110"/>
      <c r="S11" s="110"/>
      <c r="T11" s="110"/>
      <c r="U11" s="14"/>
      <c r="V11" s="14"/>
      <c r="W11" s="14"/>
      <c r="CI11" s="67"/>
    </row>
    <row r="12" spans="1:87" ht="13" outlineLevel="1">
      <c r="A12" s="8"/>
      <c r="B12" s="9">
        <v>4</v>
      </c>
      <c r="C12" s="11">
        <v>5012</v>
      </c>
      <c r="D12" s="187">
        <v>4</v>
      </c>
      <c r="E12" s="11" t="s">
        <v>10</v>
      </c>
      <c r="F12" s="100">
        <f>HLOOKUP($E$3,$M$3:$T$261,#REF!,TRUE)</f>
        <v>46046</v>
      </c>
      <c r="G12" s="14"/>
      <c r="H12" s="14"/>
      <c r="I12" s="14"/>
      <c r="J12" s="14"/>
      <c r="K12" s="14"/>
      <c r="L12" s="14"/>
      <c r="M12" s="200"/>
      <c r="N12" s="110"/>
      <c r="O12" s="110"/>
      <c r="P12" s="110"/>
      <c r="Q12" s="110"/>
      <c r="R12" s="110"/>
      <c r="S12" s="110"/>
      <c r="T12" s="110"/>
      <c r="U12" s="14"/>
      <c r="V12" s="14"/>
      <c r="W12" s="14"/>
      <c r="CI12" s="67"/>
    </row>
    <row r="13" spans="1:87" ht="13" outlineLevel="1">
      <c r="A13" s="8"/>
      <c r="B13" s="9">
        <v>5</v>
      </c>
      <c r="C13" s="11">
        <v>5014</v>
      </c>
      <c r="D13" s="187">
        <v>5</v>
      </c>
      <c r="E13" s="11" t="s">
        <v>11</v>
      </c>
      <c r="F13" s="100">
        <f>HLOOKUP($E$3,$M$3:$T$261,#REF!,TRUE)</f>
        <v>0</v>
      </c>
      <c r="G13" s="14"/>
      <c r="H13" s="93"/>
      <c r="I13" s="93"/>
      <c r="J13" s="93"/>
      <c r="K13" s="93"/>
      <c r="L13" s="93"/>
      <c r="M13" s="200"/>
      <c r="N13" s="110"/>
      <c r="O13" s="110"/>
      <c r="P13" s="110"/>
      <c r="Q13" s="110"/>
      <c r="R13" s="110"/>
      <c r="S13" s="110"/>
      <c r="T13" s="110"/>
      <c r="U13" s="14"/>
      <c r="V13" s="14"/>
      <c r="W13" s="14"/>
      <c r="CI13" s="67"/>
    </row>
    <row r="14" spans="1:87" ht="13" outlineLevel="1">
      <c r="A14" s="8"/>
      <c r="B14" s="9">
        <v>6</v>
      </c>
      <c r="C14" s="11">
        <v>5015</v>
      </c>
      <c r="D14" s="187">
        <v>6</v>
      </c>
      <c r="E14" s="11" t="s">
        <v>12</v>
      </c>
      <c r="F14" s="100">
        <f>HLOOKUP($E$3,$M$3:$T$261,#REF!,TRUE)</f>
        <v>0</v>
      </c>
      <c r="G14" s="14"/>
      <c r="H14" s="93"/>
      <c r="I14" s="93"/>
      <c r="J14" s="93"/>
      <c r="K14" s="93"/>
      <c r="L14" s="93"/>
      <c r="M14" s="200"/>
      <c r="N14" s="110"/>
      <c r="O14" s="110"/>
      <c r="P14" s="110"/>
      <c r="Q14" s="110"/>
      <c r="R14" s="110"/>
      <c r="S14" s="110"/>
      <c r="T14" s="110"/>
      <c r="U14" s="14"/>
      <c r="V14" s="14"/>
      <c r="W14" s="14"/>
      <c r="CI14" s="67"/>
    </row>
    <row r="15" spans="1:87" ht="16.5" outlineLevel="1">
      <c r="A15" s="8"/>
      <c r="B15" s="9">
        <v>7</v>
      </c>
      <c r="C15" s="11">
        <v>5016</v>
      </c>
      <c r="D15" s="187">
        <v>7</v>
      </c>
      <c r="E15" s="11" t="s">
        <v>13</v>
      </c>
      <c r="F15" s="100">
        <f>HLOOKUP($E$3,$M$3:$T$261,#REF!,TRUE)</f>
        <v>0</v>
      </c>
      <c r="G15" s="14"/>
      <c r="H15" s="94"/>
      <c r="I15" s="93"/>
      <c r="J15" s="93"/>
      <c r="K15" s="93"/>
      <c r="L15" s="93"/>
      <c r="M15" s="200"/>
      <c r="N15" s="110"/>
      <c r="O15" s="110"/>
      <c r="P15" s="110"/>
      <c r="Q15" s="110"/>
      <c r="R15" s="110"/>
      <c r="S15" s="110"/>
      <c r="T15" s="110"/>
      <c r="U15" s="14"/>
      <c r="V15" s="14"/>
      <c r="W15" s="14"/>
      <c r="CI15" s="67"/>
    </row>
    <row r="16" spans="1:87" ht="13" outlineLevel="1">
      <c r="A16" s="8"/>
      <c r="B16" s="9">
        <v>8</v>
      </c>
      <c r="C16" s="11">
        <v>5017</v>
      </c>
      <c r="D16" s="187">
        <v>8</v>
      </c>
      <c r="E16" s="11" t="s">
        <v>14</v>
      </c>
      <c r="F16" s="100">
        <f>HLOOKUP($E$3,$M$3:$T$261,#REF!,TRUE)</f>
        <v>0</v>
      </c>
      <c r="G16" s="14"/>
      <c r="H16" s="93"/>
      <c r="I16" s="93"/>
      <c r="J16" s="93"/>
      <c r="K16" s="93"/>
      <c r="L16" s="93"/>
      <c r="M16" s="200"/>
      <c r="N16" s="110"/>
      <c r="O16" s="110"/>
      <c r="P16" s="110"/>
      <c r="Q16" s="110"/>
      <c r="R16" s="110"/>
      <c r="S16" s="110"/>
      <c r="T16" s="110"/>
      <c r="U16" s="14"/>
      <c r="V16" s="14"/>
      <c r="W16" s="14"/>
      <c r="CI16" s="67"/>
    </row>
    <row r="17" spans="1:87" ht="13" outlineLevel="1">
      <c r="A17" s="8"/>
      <c r="B17" s="9">
        <v>9</v>
      </c>
      <c r="C17" s="11">
        <v>5020</v>
      </c>
      <c r="D17" s="187">
        <v>9</v>
      </c>
      <c r="E17" s="11" t="s">
        <v>15</v>
      </c>
      <c r="F17" s="100">
        <f>HLOOKUP($E$3,$M$3:$T$261,#REF!,TRUE)</f>
        <v>748270</v>
      </c>
      <c r="G17" s="14"/>
      <c r="H17" s="93"/>
      <c r="I17" s="93"/>
      <c r="J17" s="93"/>
      <c r="K17" s="93"/>
      <c r="L17" s="93"/>
      <c r="M17" s="200"/>
      <c r="N17" s="110"/>
      <c r="O17" s="110"/>
      <c r="P17" s="110"/>
      <c r="Q17" s="110"/>
      <c r="R17" s="110"/>
      <c r="S17" s="110"/>
      <c r="T17" s="110"/>
      <c r="U17" s="14"/>
      <c r="V17" s="14"/>
      <c r="W17" s="14"/>
      <c r="CI17" s="67"/>
    </row>
    <row r="18" spans="1:87" ht="13" outlineLevel="1">
      <c r="A18" s="8"/>
      <c r="B18" s="9">
        <v>10</v>
      </c>
      <c r="C18" s="11">
        <v>5025</v>
      </c>
      <c r="D18" s="187">
        <v>10</v>
      </c>
      <c r="E18" s="11" t="s">
        <v>16</v>
      </c>
      <c r="F18" s="100">
        <f>HLOOKUP($E$3,$M$3:$T$261,#REF!,TRUE)</f>
        <v>-407467</v>
      </c>
      <c r="G18" s="14"/>
      <c r="H18" s="93"/>
      <c r="I18" s="93"/>
      <c r="J18" s="93"/>
      <c r="K18" s="93"/>
      <c r="L18" s="93"/>
      <c r="M18" s="200"/>
      <c r="N18" s="110"/>
      <c r="O18" s="110"/>
      <c r="P18" s="110"/>
      <c r="Q18" s="110"/>
      <c r="R18" s="110"/>
      <c r="S18" s="110"/>
      <c r="T18" s="110"/>
      <c r="U18" s="14"/>
      <c r="V18" s="14"/>
      <c r="W18" s="14"/>
      <c r="CI18" s="67"/>
    </row>
    <row r="19" spans="1:87" ht="13" outlineLevel="1">
      <c r="A19" s="8"/>
      <c r="B19" s="9">
        <v>11</v>
      </c>
      <c r="C19" s="11">
        <v>5035</v>
      </c>
      <c r="D19" s="187">
        <v>11</v>
      </c>
      <c r="E19" s="11" t="s">
        <v>17</v>
      </c>
      <c r="F19" s="100">
        <f>HLOOKUP($E$3,$M$3:$T$261,#REF!,TRUE)</f>
        <v>0</v>
      </c>
      <c r="G19" s="14"/>
      <c r="H19" s="93"/>
      <c r="I19" s="93"/>
      <c r="J19" s="93"/>
      <c r="K19" s="93"/>
      <c r="L19" s="93"/>
      <c r="M19" s="200"/>
      <c r="N19" s="110"/>
      <c r="O19" s="110"/>
      <c r="P19" s="110"/>
      <c r="Q19" s="110"/>
      <c r="R19" s="110"/>
      <c r="S19" s="110"/>
      <c r="T19" s="110"/>
      <c r="U19" s="14"/>
      <c r="V19" s="14"/>
      <c r="W19" s="14"/>
      <c r="CI19" s="67"/>
    </row>
    <row r="20" spans="1:87" ht="13" outlineLevel="1">
      <c r="A20" s="8"/>
      <c r="B20" s="9">
        <v>12</v>
      </c>
      <c r="C20" s="11">
        <v>5040</v>
      </c>
      <c r="D20" s="187">
        <v>12</v>
      </c>
      <c r="E20" s="11" t="s">
        <v>18</v>
      </c>
      <c r="F20" s="100">
        <f>HLOOKUP($E$3,$M$3:$T$261,#REF!,TRUE)</f>
        <v>35723</v>
      </c>
      <c r="G20" s="14"/>
      <c r="H20" s="93"/>
      <c r="I20" s="93"/>
      <c r="J20" s="93"/>
      <c r="K20" s="93"/>
      <c r="L20" s="93"/>
      <c r="M20" s="200"/>
      <c r="N20" s="110"/>
      <c r="O20" s="110"/>
      <c r="P20" s="110"/>
      <c r="Q20" s="110"/>
      <c r="R20" s="110"/>
      <c r="S20" s="110"/>
      <c r="T20" s="110"/>
      <c r="U20" s="14"/>
      <c r="V20" s="14"/>
      <c r="W20" s="14"/>
      <c r="CI20" s="67"/>
    </row>
    <row r="21" spans="1:87" ht="15.5" outlineLevel="1">
      <c r="A21" s="8"/>
      <c r="B21" s="9">
        <v>13</v>
      </c>
      <c r="C21" s="11">
        <v>5045</v>
      </c>
      <c r="D21" s="187">
        <v>13</v>
      </c>
      <c r="E21" s="11" t="s">
        <v>19</v>
      </c>
      <c r="F21" s="100">
        <f>HLOOKUP($E$3,$M$3:$T$261,#REF!,TRUE)</f>
        <v>3182</v>
      </c>
      <c r="G21" s="14"/>
      <c r="H21" s="95"/>
      <c r="I21" s="93"/>
      <c r="J21" s="93"/>
      <c r="K21" s="93"/>
      <c r="L21" s="93"/>
      <c r="M21" s="200"/>
      <c r="N21" s="110"/>
      <c r="O21" s="110"/>
      <c r="P21" s="110"/>
      <c r="Q21" s="110"/>
      <c r="R21" s="110"/>
      <c r="S21" s="110"/>
      <c r="T21" s="110"/>
      <c r="U21" s="14"/>
      <c r="V21" s="14"/>
      <c r="W21" s="14"/>
      <c r="CI21" s="67"/>
    </row>
    <row r="22" spans="1:87" ht="13" outlineLevel="1">
      <c r="A22" s="8"/>
      <c r="B22" s="9">
        <v>14</v>
      </c>
      <c r="C22" s="11">
        <v>5055</v>
      </c>
      <c r="D22" s="187">
        <v>14</v>
      </c>
      <c r="E22" s="11" t="s">
        <v>20</v>
      </c>
      <c r="F22" s="100">
        <f>HLOOKUP($E$3,$M$3:$T$261,#REF!,TRUE)</f>
        <v>0</v>
      </c>
      <c r="G22" s="14"/>
      <c r="H22" s="93"/>
      <c r="I22" s="93"/>
      <c r="J22" s="93"/>
      <c r="K22" s="93"/>
      <c r="L22" s="93"/>
      <c r="M22" s="200"/>
      <c r="N22" s="110"/>
      <c r="O22" s="110"/>
      <c r="P22" s="110"/>
      <c r="Q22" s="110"/>
      <c r="R22" s="110"/>
      <c r="S22" s="110"/>
      <c r="T22" s="110"/>
      <c r="U22" s="14"/>
      <c r="V22" s="14"/>
      <c r="W22" s="14"/>
      <c r="CI22" s="67"/>
    </row>
    <row r="23" spans="1:87" ht="13" outlineLevel="1">
      <c r="A23" s="8"/>
      <c r="B23" s="9">
        <v>15</v>
      </c>
      <c r="C23" s="11">
        <v>5065</v>
      </c>
      <c r="D23" s="187">
        <v>15</v>
      </c>
      <c r="E23" s="11" t="s">
        <v>21</v>
      </c>
      <c r="F23" s="100">
        <f>HLOOKUP($E$3,$M$3:$T$261,#REF!,TRUE)</f>
        <v>651051</v>
      </c>
      <c r="G23" s="14"/>
      <c r="H23" s="93"/>
      <c r="I23" s="93"/>
      <c r="J23" s="93"/>
      <c r="K23" s="93"/>
      <c r="L23" s="93"/>
      <c r="M23" s="200"/>
      <c r="N23" s="110"/>
      <c r="O23" s="110"/>
      <c r="P23" s="110"/>
      <c r="Q23" s="110"/>
      <c r="R23" s="110"/>
      <c r="S23" s="110"/>
      <c r="T23" s="110"/>
      <c r="U23" s="14"/>
      <c r="V23" s="14"/>
      <c r="W23" s="14"/>
      <c r="CI23" s="67"/>
    </row>
    <row r="24" spans="1:87" ht="13" outlineLevel="1">
      <c r="A24" s="8"/>
      <c r="B24" s="9">
        <v>16</v>
      </c>
      <c r="C24" s="11">
        <v>5070</v>
      </c>
      <c r="D24" s="187">
        <v>16</v>
      </c>
      <c r="E24" s="11" t="s">
        <v>22</v>
      </c>
      <c r="F24" s="100">
        <f>HLOOKUP($E$3,$M$3:$T$261,#REF!,TRUE)</f>
        <v>0</v>
      </c>
      <c r="G24" s="14"/>
      <c r="H24" s="14"/>
      <c r="I24" s="14"/>
      <c r="J24" s="14"/>
      <c r="K24" s="14"/>
      <c r="L24" s="14"/>
      <c r="M24" s="200"/>
      <c r="N24" s="110"/>
      <c r="O24" s="110"/>
      <c r="P24" s="110"/>
      <c r="Q24" s="110"/>
      <c r="R24" s="110"/>
      <c r="S24" s="110"/>
      <c r="T24" s="110"/>
      <c r="U24" s="14"/>
      <c r="V24" s="14"/>
      <c r="W24" s="14"/>
      <c r="CI24" s="67"/>
    </row>
    <row r="25" spans="1:87" ht="13" outlineLevel="1">
      <c r="A25" s="8"/>
      <c r="B25" s="9">
        <v>17</v>
      </c>
      <c r="C25" s="11">
        <v>5075</v>
      </c>
      <c r="D25" s="187">
        <v>17</v>
      </c>
      <c r="E25" s="11" t="s">
        <v>23</v>
      </c>
      <c r="F25" s="100">
        <f>HLOOKUP($E$3,$M$3:$T$261,#REF!,TRUE)</f>
        <v>0</v>
      </c>
      <c r="G25" s="14"/>
      <c r="H25" s="14"/>
      <c r="I25" s="14"/>
      <c r="J25" s="14"/>
      <c r="K25" s="14"/>
      <c r="L25" s="14"/>
      <c r="M25" s="200"/>
      <c r="N25" s="110"/>
      <c r="O25" s="110"/>
      <c r="P25" s="110"/>
      <c r="Q25" s="110"/>
      <c r="R25" s="110"/>
      <c r="S25" s="110"/>
      <c r="T25" s="110"/>
      <c r="U25" s="14"/>
      <c r="V25" s="14"/>
      <c r="W25" s="14"/>
      <c r="CI25" s="67"/>
    </row>
    <row r="26" spans="1:87" ht="13" outlineLevel="1">
      <c r="A26" s="8"/>
      <c r="B26" s="9">
        <v>18</v>
      </c>
      <c r="C26" s="11">
        <v>5085</v>
      </c>
      <c r="D26" s="187">
        <v>18</v>
      </c>
      <c r="E26" s="11" t="s">
        <v>24</v>
      </c>
      <c r="F26" s="100">
        <f>HLOOKUP($E$3,$M$3:$T$261,#REF!,TRUE)</f>
        <v>104901</v>
      </c>
      <c r="G26" s="14"/>
      <c r="H26" s="14"/>
      <c r="I26" s="14"/>
      <c r="J26" s="14"/>
      <c r="K26" s="14"/>
      <c r="L26" s="14"/>
      <c r="M26" s="200"/>
      <c r="N26" s="110"/>
      <c r="O26" s="110"/>
      <c r="P26" s="110"/>
      <c r="Q26" s="110"/>
      <c r="R26" s="110"/>
      <c r="S26" s="110"/>
      <c r="T26" s="110"/>
      <c r="U26" s="14"/>
      <c r="V26" s="14"/>
      <c r="W26" s="14"/>
      <c r="CI26" s="67"/>
    </row>
    <row r="27" spans="1:87" ht="13" outlineLevel="1">
      <c r="A27" s="8"/>
      <c r="B27" s="9">
        <v>19</v>
      </c>
      <c r="C27" s="11">
        <v>5090</v>
      </c>
      <c r="D27" s="187">
        <v>19</v>
      </c>
      <c r="E27" s="11" t="s">
        <v>25</v>
      </c>
      <c r="F27" s="100">
        <f>HLOOKUP($E$3,$M$3:$T$261,#REF!,TRUE)</f>
        <v>0</v>
      </c>
      <c r="G27" s="14"/>
      <c r="H27" s="14"/>
      <c r="I27" s="14"/>
      <c r="J27" s="14"/>
      <c r="K27" s="14"/>
      <c r="L27" s="14"/>
      <c r="M27" s="200"/>
      <c r="N27" s="110"/>
      <c r="O27" s="110"/>
      <c r="P27" s="110"/>
      <c r="Q27" s="110"/>
      <c r="R27" s="110"/>
      <c r="S27" s="110"/>
      <c r="T27" s="110"/>
      <c r="U27" s="14"/>
      <c r="V27" s="14"/>
      <c r="W27" s="14"/>
      <c r="CI27" s="67"/>
    </row>
    <row r="28" spans="1:87" ht="13" outlineLevel="1">
      <c r="A28" s="8"/>
      <c r="B28" s="9">
        <v>20</v>
      </c>
      <c r="C28" s="11">
        <v>5095</v>
      </c>
      <c r="D28" s="187">
        <v>20</v>
      </c>
      <c r="E28" s="11" t="s">
        <v>26</v>
      </c>
      <c r="F28" s="100">
        <f>HLOOKUP($E$3,$M$3:$T$261,#REF!,TRUE)</f>
        <v>0</v>
      </c>
      <c r="G28" s="14"/>
      <c r="H28" s="14"/>
      <c r="I28" s="14"/>
      <c r="J28" s="14"/>
      <c r="K28" s="14"/>
      <c r="L28" s="14"/>
      <c r="M28" s="200"/>
      <c r="N28" s="110"/>
      <c r="O28" s="110"/>
      <c r="P28" s="110"/>
      <c r="Q28" s="110"/>
      <c r="R28" s="110"/>
      <c r="S28" s="110"/>
      <c r="T28" s="110"/>
      <c r="U28" s="14"/>
      <c r="V28" s="14"/>
      <c r="W28" s="14"/>
      <c r="CI28" s="67"/>
    </row>
    <row r="29" spans="1:87" ht="13" outlineLevel="1">
      <c r="A29" s="8"/>
      <c r="B29" s="9">
        <v>21</v>
      </c>
      <c r="C29" s="11">
        <v>5096</v>
      </c>
      <c r="D29" s="187">
        <v>21</v>
      </c>
      <c r="E29" s="11" t="s">
        <v>27</v>
      </c>
      <c r="F29" s="100">
        <f>HLOOKUP($E$3,$M$3:$T$261,#REF!,TRUE)</f>
        <v>0</v>
      </c>
      <c r="G29" s="14"/>
      <c r="H29" s="14"/>
      <c r="I29" s="14"/>
      <c r="J29" s="14"/>
      <c r="K29" s="14"/>
      <c r="L29" s="14"/>
      <c r="M29" s="200"/>
      <c r="N29" s="110"/>
      <c r="O29" s="110"/>
      <c r="P29" s="110"/>
      <c r="Q29" s="110"/>
      <c r="R29" s="110"/>
      <c r="S29" s="110"/>
      <c r="T29" s="110"/>
      <c r="U29" s="14"/>
      <c r="V29" s="14"/>
      <c r="W29" s="14"/>
      <c r="CI29" s="67"/>
    </row>
    <row r="30" spans="1:87" ht="13">
      <c r="A30" s="8"/>
      <c r="B30" s="9">
        <v>22</v>
      </c>
      <c r="C30" s="15"/>
      <c r="D30" s="187"/>
      <c r="E30" s="16" t="s">
        <v>28</v>
      </c>
      <c r="F30" s="100">
        <f>HLOOKUP($E$3,$M$3:$T$261,#REF!,TRUE)</f>
        <v>1995035</v>
      </c>
      <c r="G30" s="14"/>
      <c r="H30" s="17"/>
      <c r="I30" s="17"/>
      <c r="J30" s="17"/>
      <c r="K30" s="17"/>
      <c r="L30" s="17"/>
      <c r="M30" s="200"/>
      <c r="N30" s="110"/>
      <c r="O30" s="110"/>
      <c r="P30" s="110"/>
      <c r="Q30" s="110"/>
      <c r="R30" s="110"/>
      <c r="S30" s="111"/>
      <c r="T30" s="111"/>
      <c r="U30" s="17"/>
      <c r="V30" s="17"/>
      <c r="W30" s="17"/>
      <c r="CI30" s="67"/>
    </row>
    <row r="31" spans="1:87" ht="13" outlineLevel="1">
      <c r="A31" s="8"/>
      <c r="B31" s="9">
        <v>23</v>
      </c>
      <c r="C31" s="11">
        <v>5105</v>
      </c>
      <c r="D31" s="187">
        <v>22</v>
      </c>
      <c r="E31" s="11" t="s">
        <v>30</v>
      </c>
      <c r="F31" s="100">
        <f>HLOOKUP($E$3,$M$3:$T$261,#REF!,TRUE)</f>
        <v>0</v>
      </c>
      <c r="G31" s="14"/>
      <c r="H31" s="14"/>
      <c r="I31" s="14"/>
      <c r="J31" s="14"/>
      <c r="K31" s="14"/>
      <c r="L31" s="14"/>
      <c r="M31" s="200"/>
      <c r="N31" s="110"/>
      <c r="O31" s="110"/>
      <c r="P31" s="110"/>
      <c r="Q31" s="110"/>
      <c r="R31" s="110"/>
      <c r="S31" s="110"/>
      <c r="T31" s="110"/>
      <c r="U31" s="14"/>
      <c r="V31" s="14"/>
      <c r="W31" s="14"/>
      <c r="CI31" s="67"/>
    </row>
    <row r="32" spans="1:87" ht="13" outlineLevel="1">
      <c r="A32" s="8"/>
      <c r="B32" s="9">
        <v>24</v>
      </c>
      <c r="C32" s="11">
        <v>5110</v>
      </c>
      <c r="D32" s="187">
        <v>23</v>
      </c>
      <c r="E32" s="11" t="s">
        <v>31</v>
      </c>
      <c r="F32" s="100">
        <f>HLOOKUP($E$3,$M$3:$T$261,#REF!,TRUE)</f>
        <v>6135</v>
      </c>
      <c r="G32" s="14"/>
      <c r="H32" s="14"/>
      <c r="I32" s="14"/>
      <c r="J32" s="14"/>
      <c r="K32" s="14"/>
      <c r="L32" s="14"/>
      <c r="M32" s="200"/>
      <c r="N32" s="110"/>
      <c r="O32" s="110"/>
      <c r="P32" s="110"/>
      <c r="Q32" s="110"/>
      <c r="R32" s="110"/>
      <c r="S32" s="110"/>
      <c r="T32" s="110"/>
      <c r="U32" s="14"/>
      <c r="V32" s="14"/>
      <c r="W32" s="14"/>
      <c r="CI32" s="67"/>
    </row>
    <row r="33" spans="1:87" ht="13" outlineLevel="1">
      <c r="A33" s="3"/>
      <c r="B33" s="9">
        <v>25</v>
      </c>
      <c r="C33" s="11">
        <v>5112</v>
      </c>
      <c r="D33" s="187">
        <v>24</v>
      </c>
      <c r="E33" s="11" t="s">
        <v>32</v>
      </c>
      <c r="F33" s="100">
        <f>HLOOKUP($E$3,$M$3:$T$261,#REF!,TRUE)</f>
        <v>0</v>
      </c>
      <c r="G33" s="14"/>
      <c r="H33" s="14"/>
      <c r="I33" s="14"/>
      <c r="J33" s="14"/>
      <c r="K33" s="14"/>
      <c r="L33" s="14"/>
      <c r="M33" s="200"/>
      <c r="N33" s="110"/>
      <c r="O33" s="110"/>
      <c r="P33" s="110"/>
      <c r="Q33" s="110"/>
      <c r="R33" s="110"/>
      <c r="S33" s="110"/>
      <c r="T33" s="110"/>
      <c r="U33" s="14"/>
      <c r="V33" s="14"/>
      <c r="W33" s="14"/>
      <c r="CI33" s="67"/>
    </row>
    <row r="34" spans="1:87" ht="13" outlineLevel="1">
      <c r="A34" s="3"/>
      <c r="B34" s="9">
        <v>26</v>
      </c>
      <c r="C34" s="11">
        <v>5114</v>
      </c>
      <c r="D34" s="187">
        <v>25</v>
      </c>
      <c r="E34" s="11" t="s">
        <v>33</v>
      </c>
      <c r="F34" s="100">
        <f>HLOOKUP($E$3,$M$3:$T$261,#REF!,TRUE)</f>
        <v>222637</v>
      </c>
      <c r="G34" s="14"/>
      <c r="H34" s="14"/>
      <c r="I34" s="14"/>
      <c r="J34" s="14"/>
      <c r="K34" s="14"/>
      <c r="L34" s="14"/>
      <c r="M34" s="200"/>
      <c r="N34" s="110"/>
      <c r="O34" s="110"/>
      <c r="P34" s="110"/>
      <c r="Q34" s="110"/>
      <c r="R34" s="110"/>
      <c r="S34" s="110"/>
      <c r="T34" s="110"/>
      <c r="U34" s="14"/>
      <c r="V34" s="14"/>
      <c r="W34" s="14"/>
      <c r="CI34" s="67"/>
    </row>
    <row r="35" spans="1:87" ht="13" outlineLevel="1">
      <c r="A35" s="3"/>
      <c r="B35" s="9">
        <v>27</v>
      </c>
      <c r="C35" s="11">
        <v>5120</v>
      </c>
      <c r="D35" s="187">
        <v>26</v>
      </c>
      <c r="E35" s="11" t="s">
        <v>34</v>
      </c>
      <c r="F35" s="100">
        <f>HLOOKUP($E$3,$M$3:$T$261,#REF!,TRUE)</f>
        <v>473782</v>
      </c>
      <c r="G35" s="14"/>
      <c r="H35" s="14"/>
      <c r="I35" s="14"/>
      <c r="J35" s="14"/>
      <c r="K35" s="14"/>
      <c r="L35" s="14"/>
      <c r="M35" s="200"/>
      <c r="N35" s="110"/>
      <c r="O35" s="110"/>
      <c r="P35" s="110"/>
      <c r="Q35" s="110"/>
      <c r="R35" s="110"/>
      <c r="S35" s="110"/>
      <c r="T35" s="110"/>
      <c r="U35" s="14"/>
      <c r="V35" s="14"/>
      <c r="W35" s="14"/>
      <c r="CI35" s="67"/>
    </row>
    <row r="36" spans="1:87" ht="13" outlineLevel="1">
      <c r="A36" s="3"/>
      <c r="B36" s="9">
        <v>28</v>
      </c>
      <c r="C36" s="11">
        <v>5125</v>
      </c>
      <c r="D36" s="187">
        <v>27</v>
      </c>
      <c r="E36" s="11" t="s">
        <v>35</v>
      </c>
      <c r="F36" s="100">
        <f>HLOOKUP($E$3,$M$3:$T$261,#REF!,TRUE)</f>
        <v>0</v>
      </c>
      <c r="G36" s="14"/>
      <c r="H36" s="14"/>
      <c r="I36" s="14"/>
      <c r="J36" s="14"/>
      <c r="K36" s="14"/>
      <c r="L36" s="14"/>
      <c r="M36" s="200"/>
      <c r="N36" s="110"/>
      <c r="O36" s="110"/>
      <c r="P36" s="110"/>
      <c r="Q36" s="110"/>
      <c r="R36" s="110"/>
      <c r="S36" s="110"/>
      <c r="T36" s="110"/>
      <c r="U36" s="14"/>
      <c r="V36" s="14"/>
      <c r="W36" s="14"/>
      <c r="CI36" s="67"/>
    </row>
    <row r="37" spans="1:87" ht="13" outlineLevel="1">
      <c r="A37" s="3"/>
      <c r="B37" s="9">
        <v>29</v>
      </c>
      <c r="C37" s="11">
        <v>5130</v>
      </c>
      <c r="D37" s="187">
        <v>28</v>
      </c>
      <c r="E37" s="11" t="s">
        <v>36</v>
      </c>
      <c r="F37" s="100">
        <f>HLOOKUP($E$3,$M$3:$T$261,#REF!,TRUE)</f>
        <v>0</v>
      </c>
      <c r="G37" s="14"/>
      <c r="H37" s="14"/>
      <c r="I37" s="14"/>
      <c r="J37" s="14"/>
      <c r="K37" s="14"/>
      <c r="L37" s="14"/>
      <c r="M37" s="200"/>
      <c r="N37" s="110"/>
      <c r="O37" s="110"/>
      <c r="P37" s="110"/>
      <c r="Q37" s="110"/>
      <c r="R37" s="110"/>
      <c r="S37" s="110"/>
      <c r="T37" s="110"/>
      <c r="U37" s="14"/>
      <c r="V37" s="14"/>
      <c r="W37" s="14"/>
      <c r="CI37" s="67"/>
    </row>
    <row r="38" spans="1:87" ht="13" outlineLevel="1">
      <c r="A38" s="3"/>
      <c r="B38" s="9">
        <v>30</v>
      </c>
      <c r="C38" s="11">
        <v>5135</v>
      </c>
      <c r="D38" s="187">
        <v>29</v>
      </c>
      <c r="E38" s="11" t="s">
        <v>37</v>
      </c>
      <c r="F38" s="100">
        <f>HLOOKUP($E$3,$M$3:$T$261,#REF!,TRUE)</f>
        <v>0</v>
      </c>
      <c r="G38" s="14"/>
      <c r="H38" s="14"/>
      <c r="I38" s="14"/>
      <c r="J38" s="14"/>
      <c r="K38" s="14"/>
      <c r="L38" s="14"/>
      <c r="M38" s="200"/>
      <c r="N38" s="110"/>
      <c r="O38" s="110"/>
      <c r="P38" s="110"/>
      <c r="Q38" s="110"/>
      <c r="R38" s="110"/>
      <c r="S38" s="110"/>
      <c r="T38" s="110"/>
      <c r="U38" s="14"/>
      <c r="V38" s="14"/>
      <c r="W38" s="14"/>
      <c r="CI38" s="67"/>
    </row>
    <row r="39" spans="1:87" ht="13" outlineLevel="1">
      <c r="A39" s="3"/>
      <c r="B39" s="9">
        <v>31</v>
      </c>
      <c r="C39" s="11">
        <v>5145</v>
      </c>
      <c r="D39" s="187">
        <v>30</v>
      </c>
      <c r="E39" s="11" t="s">
        <v>38</v>
      </c>
      <c r="F39" s="100">
        <f>HLOOKUP($E$3,$M$3:$T$261,#REF!,TRUE)</f>
        <v>263546</v>
      </c>
      <c r="G39" s="14"/>
      <c r="H39" s="14"/>
      <c r="I39" s="14"/>
      <c r="J39" s="14"/>
      <c r="K39" s="14"/>
      <c r="L39" s="14"/>
      <c r="M39" s="200"/>
      <c r="N39" s="110"/>
      <c r="O39" s="110"/>
      <c r="P39" s="110"/>
      <c r="Q39" s="110"/>
      <c r="R39" s="110"/>
      <c r="S39" s="110"/>
      <c r="T39" s="110"/>
      <c r="U39" s="14"/>
      <c r="V39" s="14"/>
      <c r="W39" s="14"/>
      <c r="CI39" s="67"/>
    </row>
    <row r="40" spans="1:87" ht="13" outlineLevel="1">
      <c r="A40" s="3"/>
      <c r="B40" s="9">
        <v>32</v>
      </c>
      <c r="C40" s="11">
        <v>5150</v>
      </c>
      <c r="D40" s="187">
        <v>31</v>
      </c>
      <c r="E40" s="11" t="s">
        <v>39</v>
      </c>
      <c r="F40" s="100">
        <f>HLOOKUP($E$3,$M$3:$T$261,#REF!,TRUE)</f>
        <v>0</v>
      </c>
      <c r="G40" s="14"/>
      <c r="H40" s="14"/>
      <c r="I40" s="14"/>
      <c r="J40" s="14"/>
      <c r="K40" s="14"/>
      <c r="L40" s="14"/>
      <c r="M40" s="200"/>
      <c r="N40" s="110"/>
      <c r="O40" s="110"/>
      <c r="P40" s="110"/>
      <c r="Q40" s="110"/>
      <c r="R40" s="110"/>
      <c r="S40" s="110"/>
      <c r="T40" s="110"/>
      <c r="U40" s="14"/>
      <c r="V40" s="14"/>
      <c r="W40" s="14"/>
      <c r="CI40" s="67"/>
    </row>
    <row r="41" spans="1:87" ht="13" outlineLevel="1">
      <c r="A41" s="3"/>
      <c r="B41" s="9">
        <v>33</v>
      </c>
      <c r="C41" s="11">
        <v>5155</v>
      </c>
      <c r="D41" s="187">
        <v>32</v>
      </c>
      <c r="E41" s="11" t="s">
        <v>40</v>
      </c>
      <c r="F41" s="100">
        <f>HLOOKUP($E$3,$M$3:$T$261,#REF!,TRUE)</f>
        <v>53728</v>
      </c>
      <c r="G41" s="14"/>
      <c r="H41" s="14"/>
      <c r="I41" s="14"/>
      <c r="J41" s="14"/>
      <c r="K41" s="14"/>
      <c r="L41" s="14"/>
      <c r="M41" s="200"/>
      <c r="N41" s="110"/>
      <c r="O41" s="110"/>
      <c r="P41" s="110"/>
      <c r="Q41" s="110"/>
      <c r="R41" s="110"/>
      <c r="S41" s="110"/>
      <c r="T41" s="110"/>
      <c r="U41" s="14"/>
      <c r="V41" s="14"/>
      <c r="W41" s="14"/>
      <c r="CI41" s="67"/>
    </row>
    <row r="42" spans="1:87" ht="13" outlineLevel="1">
      <c r="A42" s="3"/>
      <c r="B42" s="9">
        <v>34</v>
      </c>
      <c r="C42" s="11">
        <v>5160</v>
      </c>
      <c r="D42" s="187">
        <v>33</v>
      </c>
      <c r="E42" s="11" t="s">
        <v>41</v>
      </c>
      <c r="F42" s="100">
        <f>HLOOKUP($E$3,$M$3:$T$261,#REF!,TRUE)</f>
        <v>0</v>
      </c>
      <c r="G42" s="14"/>
      <c r="H42" s="14"/>
      <c r="I42" s="14"/>
      <c r="J42" s="14"/>
      <c r="K42" s="14"/>
      <c r="L42" s="14"/>
      <c r="M42" s="200"/>
      <c r="N42" s="110"/>
      <c r="O42" s="110"/>
      <c r="P42" s="110"/>
      <c r="Q42" s="110"/>
      <c r="R42" s="110"/>
      <c r="S42" s="110"/>
      <c r="T42" s="110"/>
      <c r="U42" s="14"/>
      <c r="V42" s="14"/>
      <c r="W42" s="14"/>
      <c r="CI42" s="67"/>
    </row>
    <row r="43" spans="1:87" ht="13" outlineLevel="1">
      <c r="A43" s="3"/>
      <c r="B43" s="9">
        <v>35</v>
      </c>
      <c r="C43" s="11">
        <v>5175</v>
      </c>
      <c r="D43" s="187">
        <v>34</v>
      </c>
      <c r="E43" s="11" t="s">
        <v>42</v>
      </c>
      <c r="F43" s="100">
        <f>HLOOKUP($E$3,$M$3:$T$261,#REF!,TRUE)</f>
        <v>0</v>
      </c>
      <c r="G43" s="14"/>
      <c r="H43" s="14"/>
      <c r="I43" s="14"/>
      <c r="J43" s="14"/>
      <c r="K43" s="14"/>
      <c r="L43" s="14"/>
      <c r="M43" s="200"/>
      <c r="N43" s="110"/>
      <c r="O43" s="110"/>
      <c r="P43" s="110"/>
      <c r="Q43" s="110"/>
      <c r="R43" s="110"/>
      <c r="S43" s="110"/>
      <c r="T43" s="110"/>
      <c r="U43" s="14"/>
      <c r="V43" s="14"/>
      <c r="W43" s="14"/>
      <c r="CI43" s="67"/>
    </row>
    <row r="44" spans="1:87" ht="13">
      <c r="A44" s="3"/>
      <c r="B44" s="9">
        <v>36</v>
      </c>
      <c r="C44" s="15"/>
      <c r="D44" s="187"/>
      <c r="E44" s="16" t="s">
        <v>43</v>
      </c>
      <c r="F44" s="100">
        <f>HLOOKUP($E$3,$M$3:$T$261,#REF!,TRUE)</f>
        <v>1019828</v>
      </c>
      <c r="G44" s="14"/>
      <c r="H44" s="17"/>
      <c r="I44" s="17"/>
      <c r="J44" s="17"/>
      <c r="K44" s="17"/>
      <c r="L44" s="17"/>
      <c r="M44" s="200"/>
      <c r="N44" s="110"/>
      <c r="O44" s="110"/>
      <c r="P44" s="110"/>
      <c r="Q44" s="110"/>
      <c r="R44" s="110"/>
      <c r="S44" s="111"/>
      <c r="T44" s="111"/>
      <c r="U44" s="17"/>
      <c r="V44" s="17"/>
      <c r="W44" s="17"/>
      <c r="CI44" s="67"/>
    </row>
    <row r="45" spans="1:87" ht="13" outlineLevel="1">
      <c r="A45" s="3"/>
      <c r="B45" s="9">
        <v>37</v>
      </c>
      <c r="C45" s="11">
        <v>5305</v>
      </c>
      <c r="D45" s="187">
        <v>35</v>
      </c>
      <c r="E45" s="11" t="s">
        <v>44</v>
      </c>
      <c r="F45" s="100">
        <f>HLOOKUP($E$3,$M$3:$T$261,#REF!,TRUE)</f>
        <v>146431.22</v>
      </c>
      <c r="G45" s="14"/>
      <c r="H45" s="14"/>
      <c r="I45" s="14"/>
      <c r="J45" s="14"/>
      <c r="K45" s="14"/>
      <c r="L45" s="14"/>
      <c r="M45" s="200"/>
      <c r="N45" s="110"/>
      <c r="O45" s="110"/>
      <c r="P45" s="110"/>
      <c r="Q45" s="110"/>
      <c r="R45" s="110"/>
      <c r="S45" s="110"/>
      <c r="T45" s="110"/>
      <c r="U45" s="14"/>
      <c r="V45" s="14"/>
      <c r="W45" s="14"/>
      <c r="CI45" s="67"/>
    </row>
    <row r="46" spans="1:87" ht="13" outlineLevel="1">
      <c r="A46" s="3"/>
      <c r="B46" s="9">
        <v>38</v>
      </c>
      <c r="C46" s="11">
        <v>5310</v>
      </c>
      <c r="D46" s="187">
        <v>36</v>
      </c>
      <c r="E46" s="11" t="s">
        <v>45</v>
      </c>
      <c r="F46" s="100">
        <f>HLOOKUP($E$3,$M$3:$T$261,#REF!,TRUE)</f>
        <v>442134</v>
      </c>
      <c r="G46" s="14"/>
      <c r="H46" s="14"/>
      <c r="I46" s="14"/>
      <c r="J46" s="14"/>
      <c r="K46" s="14"/>
      <c r="L46" s="14"/>
      <c r="M46" s="200"/>
      <c r="N46" s="110"/>
      <c r="O46" s="110"/>
      <c r="P46" s="110"/>
      <c r="Q46" s="110"/>
      <c r="R46" s="110"/>
      <c r="S46" s="110"/>
      <c r="T46" s="110"/>
      <c r="U46" s="14"/>
      <c r="V46" s="14"/>
      <c r="W46" s="14"/>
      <c r="CI46" s="67"/>
    </row>
    <row r="47" spans="1:87" ht="13" outlineLevel="1">
      <c r="A47" s="3"/>
      <c r="B47" s="9">
        <v>39</v>
      </c>
      <c r="C47" s="11">
        <v>5315</v>
      </c>
      <c r="D47" s="187">
        <v>37</v>
      </c>
      <c r="E47" s="11" t="s">
        <v>46</v>
      </c>
      <c r="F47" s="100">
        <f>HLOOKUP($E$3,$M$3:$T$261,#REF!,TRUE)</f>
        <v>1138471</v>
      </c>
      <c r="G47" s="14"/>
      <c r="H47" s="14"/>
      <c r="I47" s="14"/>
      <c r="J47" s="14"/>
      <c r="K47" s="14"/>
      <c r="L47" s="14"/>
      <c r="M47" s="200"/>
      <c r="N47" s="110"/>
      <c r="O47" s="110"/>
      <c r="P47" s="110"/>
      <c r="Q47" s="110"/>
      <c r="R47" s="110"/>
      <c r="S47" s="110"/>
      <c r="T47" s="110"/>
      <c r="U47" s="14"/>
      <c r="V47" s="14"/>
      <c r="W47" s="14"/>
      <c r="CI47" s="67"/>
    </row>
    <row r="48" spans="1:87" ht="13" outlineLevel="1">
      <c r="A48" s="3"/>
      <c r="B48" s="9">
        <v>40</v>
      </c>
      <c r="C48" s="11">
        <v>5320</v>
      </c>
      <c r="D48" s="187">
        <v>38</v>
      </c>
      <c r="E48" s="11" t="s">
        <v>47</v>
      </c>
      <c r="F48" s="100">
        <f>HLOOKUP($E$3,$M$3:$T$261,#REF!,TRUE)</f>
        <v>197590.67999999999</v>
      </c>
      <c r="G48" s="14"/>
      <c r="H48" s="14"/>
      <c r="I48" s="14"/>
      <c r="J48" s="14"/>
      <c r="K48" s="14"/>
      <c r="L48" s="14"/>
      <c r="M48" s="200"/>
      <c r="N48" s="110"/>
      <c r="O48" s="110"/>
      <c r="P48" s="110"/>
      <c r="Q48" s="110"/>
      <c r="R48" s="110"/>
      <c r="S48" s="110"/>
      <c r="T48" s="110"/>
      <c r="U48" s="14"/>
      <c r="V48" s="14"/>
      <c r="W48" s="14"/>
      <c r="CI48" s="67"/>
    </row>
    <row r="49" spans="1:87" ht="13" outlineLevel="1">
      <c r="A49" s="3"/>
      <c r="B49" s="9">
        <v>41</v>
      </c>
      <c r="C49" s="11">
        <v>5325</v>
      </c>
      <c r="D49" s="187">
        <v>39</v>
      </c>
      <c r="E49" s="11" t="s">
        <v>48</v>
      </c>
      <c r="F49" s="100">
        <f>HLOOKUP($E$3,$M$3:$T$261,#REF!,TRUE)</f>
        <v>0</v>
      </c>
      <c r="G49" s="14"/>
      <c r="H49" s="14"/>
      <c r="I49" s="14"/>
      <c r="J49" s="14"/>
      <c r="K49" s="14"/>
      <c r="L49" s="14"/>
      <c r="M49" s="200"/>
      <c r="N49" s="110"/>
      <c r="O49" s="110"/>
      <c r="P49" s="110"/>
      <c r="Q49" s="110"/>
      <c r="R49" s="110"/>
      <c r="S49" s="110"/>
      <c r="T49" s="110"/>
      <c r="U49" s="14"/>
      <c r="V49" s="14"/>
      <c r="W49" s="14"/>
      <c r="CI49" s="67"/>
    </row>
    <row r="50" spans="1:87" ht="13" outlineLevel="1">
      <c r="A50" s="3"/>
      <c r="B50" s="9">
        <v>42</v>
      </c>
      <c r="C50" s="11">
        <v>5330</v>
      </c>
      <c r="D50" s="187">
        <v>40</v>
      </c>
      <c r="E50" s="11" t="s">
        <v>49</v>
      </c>
      <c r="F50" s="100">
        <f>HLOOKUP($E$3,$M$3:$T$261,#REF!,TRUE)</f>
        <v>0</v>
      </c>
      <c r="G50" s="14"/>
      <c r="H50" s="14"/>
      <c r="I50" s="14"/>
      <c r="J50" s="14"/>
      <c r="K50" s="14"/>
      <c r="L50" s="14"/>
      <c r="M50" s="200"/>
      <c r="N50" s="110"/>
      <c r="O50" s="110"/>
      <c r="P50" s="110"/>
      <c r="Q50" s="110"/>
      <c r="R50" s="110"/>
      <c r="S50" s="110"/>
      <c r="T50" s="110"/>
      <c r="U50" s="14"/>
      <c r="V50" s="14"/>
      <c r="W50" s="14"/>
      <c r="CI50" s="67"/>
    </row>
    <row r="51" spans="1:87" ht="13" outlineLevel="1">
      <c r="A51" s="3"/>
      <c r="B51" s="9">
        <v>43</v>
      </c>
      <c r="C51" s="11">
        <v>5340</v>
      </c>
      <c r="D51" s="187">
        <v>41</v>
      </c>
      <c r="E51" s="11" t="s">
        <v>50</v>
      </c>
      <c r="F51" s="100">
        <f>HLOOKUP($E$3,$M$3:$T$261,#REF!,TRUE)</f>
        <v>0</v>
      </c>
      <c r="G51" s="14"/>
      <c r="H51" s="14"/>
      <c r="I51" s="14"/>
      <c r="J51" s="14"/>
      <c r="K51" s="14"/>
      <c r="L51" s="14"/>
      <c r="M51" s="200"/>
      <c r="N51" s="110"/>
      <c r="O51" s="110"/>
      <c r="P51" s="110"/>
      <c r="Q51" s="110"/>
      <c r="R51" s="110"/>
      <c r="S51" s="110"/>
      <c r="T51" s="110"/>
      <c r="U51" s="14"/>
      <c r="V51" s="14"/>
      <c r="W51" s="14"/>
      <c r="CI51" s="67"/>
    </row>
    <row r="52" spans="1:87" ht="13">
      <c r="A52" s="3"/>
      <c r="B52" s="9">
        <v>44</v>
      </c>
      <c r="C52" s="15"/>
      <c r="D52" s="187"/>
      <c r="E52" s="16" t="s">
        <v>51</v>
      </c>
      <c r="F52" s="100">
        <f>HLOOKUP($E$3,$M$3:$T$261,#REF!,TRUE)</f>
        <v>1924626.8999999999</v>
      </c>
      <c r="G52" s="14"/>
      <c r="H52" s="17"/>
      <c r="I52" s="17"/>
      <c r="J52" s="17"/>
      <c r="K52" s="17"/>
      <c r="L52" s="17"/>
      <c r="M52" s="200"/>
      <c r="N52" s="110"/>
      <c r="O52" s="110"/>
      <c r="P52" s="110"/>
      <c r="Q52" s="110"/>
      <c r="R52" s="110"/>
      <c r="S52" s="111"/>
      <c r="T52" s="111"/>
      <c r="U52" s="17"/>
      <c r="V52" s="17"/>
      <c r="W52" s="17"/>
      <c r="CI52" s="67"/>
    </row>
    <row r="53" spans="1:87" ht="13" outlineLevel="1">
      <c r="A53" s="3"/>
      <c r="B53" s="9">
        <v>45</v>
      </c>
      <c r="C53" s="11">
        <v>5405</v>
      </c>
      <c r="D53" s="187">
        <v>42</v>
      </c>
      <c r="E53" s="11" t="s">
        <v>52</v>
      </c>
      <c r="F53" s="100">
        <f>HLOOKUP($E$3,$M$3:$T$261,#REF!,TRUE)</f>
        <v>142301.87</v>
      </c>
      <c r="G53" s="14"/>
      <c r="H53" s="14"/>
      <c r="I53" s="14"/>
      <c r="J53" s="14"/>
      <c r="K53" s="14"/>
      <c r="L53" s="14"/>
      <c r="M53" s="200"/>
      <c r="N53" s="110"/>
      <c r="O53" s="110"/>
      <c r="P53" s="110"/>
      <c r="Q53" s="110"/>
      <c r="R53" s="110"/>
      <c r="S53" s="110"/>
      <c r="T53" s="110"/>
      <c r="U53" s="14"/>
      <c r="V53" s="14"/>
      <c r="W53" s="14"/>
      <c r="CI53" s="67"/>
    </row>
    <row r="54" spans="1:87" ht="13" outlineLevel="1">
      <c r="A54" s="3"/>
      <c r="B54" s="9">
        <v>46</v>
      </c>
      <c r="C54" s="11">
        <v>5410</v>
      </c>
      <c r="D54" s="187">
        <v>43</v>
      </c>
      <c r="E54" s="11" t="s">
        <v>53</v>
      </c>
      <c r="F54" s="100">
        <f>HLOOKUP($E$3,$M$3:$T$261,#REF!,TRUE)</f>
        <v>174481</v>
      </c>
      <c r="G54" s="14"/>
      <c r="H54" s="14"/>
      <c r="I54" s="14"/>
      <c r="J54" s="14"/>
      <c r="K54" s="14"/>
      <c r="L54" s="14"/>
      <c r="M54" s="200"/>
      <c r="N54" s="110"/>
      <c r="O54" s="110"/>
      <c r="P54" s="110"/>
      <c r="Q54" s="110"/>
      <c r="R54" s="110"/>
      <c r="S54" s="110"/>
      <c r="T54" s="110"/>
      <c r="U54" s="14"/>
      <c r="V54" s="14"/>
      <c r="W54" s="14"/>
      <c r="CI54" s="67"/>
    </row>
    <row r="55" spans="1:87" ht="13" outlineLevel="1">
      <c r="A55" s="3"/>
      <c r="B55" s="9">
        <v>47</v>
      </c>
      <c r="C55" s="11">
        <v>5420</v>
      </c>
      <c r="D55" s="187">
        <v>44</v>
      </c>
      <c r="E55" s="11" t="s">
        <v>54</v>
      </c>
      <c r="F55" s="100">
        <f>HLOOKUP($E$3,$M$3:$T$261,#REF!,TRUE)</f>
        <v>141415.26000000001</v>
      </c>
      <c r="G55" s="14"/>
      <c r="H55" s="14"/>
      <c r="I55" s="14"/>
      <c r="J55" s="14"/>
      <c r="K55" s="14"/>
      <c r="L55" s="14"/>
      <c r="M55" s="200"/>
      <c r="N55" s="110"/>
      <c r="O55" s="110"/>
      <c r="P55" s="110"/>
      <c r="Q55" s="110"/>
      <c r="R55" s="110"/>
      <c r="S55" s="110"/>
      <c r="T55" s="110"/>
      <c r="U55" s="14"/>
      <c r="V55" s="14"/>
      <c r="W55" s="14"/>
      <c r="CI55" s="67"/>
    </row>
    <row r="56" spans="1:87" ht="13" outlineLevel="1">
      <c r="A56" s="3"/>
      <c r="B56" s="9">
        <v>48</v>
      </c>
      <c r="C56" s="11">
        <v>5425</v>
      </c>
      <c r="D56" s="187">
        <v>45</v>
      </c>
      <c r="E56" s="11" t="s">
        <v>55</v>
      </c>
      <c r="F56" s="100">
        <f>HLOOKUP($E$3,$M$3:$T$261,#REF!,TRUE)</f>
        <v>693492.25</v>
      </c>
      <c r="G56" s="14"/>
      <c r="H56" s="14"/>
      <c r="I56" s="14"/>
      <c r="J56" s="14"/>
      <c r="K56" s="14"/>
      <c r="L56" s="14"/>
      <c r="M56" s="200"/>
      <c r="N56" s="110"/>
      <c r="O56" s="110"/>
      <c r="P56" s="110"/>
      <c r="Q56" s="110"/>
      <c r="R56" s="110"/>
      <c r="S56" s="110"/>
      <c r="T56" s="110"/>
      <c r="U56" s="14"/>
      <c r="V56" s="14"/>
      <c r="W56" s="14"/>
      <c r="CI56" s="67"/>
    </row>
    <row r="57" spans="1:87" ht="13">
      <c r="A57" s="3"/>
      <c r="B57" s="9">
        <v>49</v>
      </c>
      <c r="C57" s="15"/>
      <c r="D57" s="187"/>
      <c r="E57" s="16" t="s">
        <v>56</v>
      </c>
      <c r="F57" s="100">
        <f>HLOOKUP($E$3,$M$3:$T$261,#REF!,TRUE)</f>
        <v>1151690.3799999999</v>
      </c>
      <c r="G57" s="14"/>
      <c r="H57" s="17"/>
      <c r="I57" s="17"/>
      <c r="J57" s="17"/>
      <c r="K57" s="17"/>
      <c r="L57" s="17"/>
      <c r="M57" s="200"/>
      <c r="N57" s="110"/>
      <c r="O57" s="110"/>
      <c r="P57" s="110"/>
      <c r="Q57" s="110"/>
      <c r="R57" s="110"/>
      <c r="S57" s="111"/>
      <c r="T57" s="111"/>
      <c r="U57" s="17"/>
      <c r="V57" s="17"/>
      <c r="W57" s="17"/>
      <c r="CI57" s="67"/>
    </row>
    <row r="58" spans="1:87" ht="13" outlineLevel="1">
      <c r="A58" s="3"/>
      <c r="B58" s="9">
        <v>50</v>
      </c>
      <c r="C58" s="11">
        <v>5605</v>
      </c>
      <c r="D58" s="187">
        <v>47</v>
      </c>
      <c r="E58" s="11" t="s">
        <v>57</v>
      </c>
      <c r="F58" s="100">
        <f>HLOOKUP($E$3,$M$3:$T$261,#REF!,TRUE)</f>
        <v>995134.21999999997</v>
      </c>
      <c r="G58" s="14"/>
      <c r="H58" s="14"/>
      <c r="I58" s="14"/>
      <c r="J58" s="14"/>
      <c r="K58" s="14"/>
      <c r="L58" s="14"/>
      <c r="M58" s="200"/>
      <c r="N58" s="110"/>
      <c r="O58" s="110"/>
      <c r="P58" s="110"/>
      <c r="Q58" s="110"/>
      <c r="R58" s="110"/>
      <c r="S58" s="110"/>
      <c r="T58" s="110"/>
      <c r="U58" s="14"/>
      <c r="V58" s="14"/>
      <c r="W58" s="14"/>
      <c r="CI58" s="67"/>
    </row>
    <row r="59" spans="1:87" ht="13" outlineLevel="1">
      <c r="A59" s="3"/>
      <c r="B59" s="9">
        <v>51</v>
      </c>
      <c r="C59" s="11">
        <v>5610</v>
      </c>
      <c r="D59" s="187">
        <v>48</v>
      </c>
      <c r="E59" s="11" t="s">
        <v>58</v>
      </c>
      <c r="F59" s="100">
        <f>HLOOKUP($E$3,$M$3:$T$261,#REF!,TRUE)</f>
        <v>1032197.02</v>
      </c>
      <c r="G59" s="14"/>
      <c r="H59" s="14"/>
      <c r="I59" s="14"/>
      <c r="J59" s="14"/>
      <c r="K59" s="14"/>
      <c r="L59" s="14"/>
      <c r="M59" s="200"/>
      <c r="N59" s="110"/>
      <c r="O59" s="110"/>
      <c r="P59" s="110"/>
      <c r="Q59" s="110"/>
      <c r="R59" s="110"/>
      <c r="S59" s="110"/>
      <c r="T59" s="110"/>
      <c r="U59" s="14"/>
      <c r="V59" s="14"/>
      <c r="W59" s="14"/>
      <c r="CI59" s="67"/>
    </row>
    <row r="60" spans="1:87" ht="13" outlineLevel="1">
      <c r="A60" s="3"/>
      <c r="B60" s="9">
        <v>52</v>
      </c>
      <c r="C60" s="11">
        <v>5615</v>
      </c>
      <c r="D60" s="187">
        <v>49</v>
      </c>
      <c r="E60" s="11" t="s">
        <v>59</v>
      </c>
      <c r="F60" s="100">
        <f>HLOOKUP($E$3,$M$3:$T$261,#REF!,TRUE)</f>
        <v>968306</v>
      </c>
      <c r="G60" s="14"/>
      <c r="H60" s="14"/>
      <c r="I60" s="14"/>
      <c r="J60" s="14"/>
      <c r="K60" s="14"/>
      <c r="L60" s="14"/>
      <c r="M60" s="200"/>
      <c r="N60" s="110"/>
      <c r="O60" s="110"/>
      <c r="P60" s="110"/>
      <c r="Q60" s="110"/>
      <c r="R60" s="110"/>
      <c r="S60" s="110"/>
      <c r="T60" s="110"/>
      <c r="U60" s="14"/>
      <c r="V60" s="14"/>
      <c r="W60" s="14"/>
      <c r="CI60" s="67"/>
    </row>
    <row r="61" spans="1:87" ht="13" outlineLevel="1">
      <c r="A61" s="3"/>
      <c r="B61" s="9">
        <v>53</v>
      </c>
      <c r="C61" s="11">
        <v>5620</v>
      </c>
      <c r="D61" s="187">
        <v>50</v>
      </c>
      <c r="E61" s="11" t="s">
        <v>60</v>
      </c>
      <c r="F61" s="100">
        <f>HLOOKUP($E$3,$M$3:$T$261,#REF!,TRUE)</f>
        <v>369892.76000000001</v>
      </c>
      <c r="G61" s="14"/>
      <c r="H61" s="14"/>
      <c r="I61" s="14"/>
      <c r="J61" s="14"/>
      <c r="K61" s="14"/>
      <c r="L61" s="14"/>
      <c r="M61" s="200"/>
      <c r="N61" s="110"/>
      <c r="O61" s="110"/>
      <c r="P61" s="110"/>
      <c r="Q61" s="110"/>
      <c r="R61" s="110"/>
      <c r="S61" s="110"/>
      <c r="T61" s="110"/>
      <c r="U61" s="14"/>
      <c r="V61" s="14"/>
      <c r="W61" s="14"/>
      <c r="CI61" s="67"/>
    </row>
    <row r="62" spans="1:87" ht="13" outlineLevel="1">
      <c r="A62" s="3"/>
      <c r="B62" s="9">
        <v>54</v>
      </c>
      <c r="C62" s="11">
        <v>5625</v>
      </c>
      <c r="D62" s="187">
        <v>51</v>
      </c>
      <c r="E62" s="11" t="s">
        <v>61</v>
      </c>
      <c r="F62" s="100">
        <f>HLOOKUP($E$3,$M$3:$T$261,#REF!,TRUE)</f>
        <v>-198299</v>
      </c>
      <c r="G62" s="14"/>
      <c r="H62" s="14"/>
      <c r="I62" s="14"/>
      <c r="J62" s="14"/>
      <c r="K62" s="14"/>
      <c r="L62" s="14"/>
      <c r="M62" s="200"/>
      <c r="N62" s="110"/>
      <c r="O62" s="110"/>
      <c r="P62" s="110"/>
      <c r="Q62" s="110"/>
      <c r="R62" s="110"/>
      <c r="S62" s="110"/>
      <c r="T62" s="110"/>
      <c r="U62" s="14"/>
      <c r="V62" s="14"/>
      <c r="W62" s="14"/>
      <c r="CI62" s="67"/>
    </row>
    <row r="63" spans="1:87" ht="13" outlineLevel="1">
      <c r="A63" s="3"/>
      <c r="B63" s="9">
        <v>55</v>
      </c>
      <c r="C63" s="11">
        <v>5630</v>
      </c>
      <c r="D63" s="187">
        <v>52</v>
      </c>
      <c r="E63" s="11" t="s">
        <v>62</v>
      </c>
      <c r="F63" s="100">
        <f>HLOOKUP($E$3,$M$3:$T$261,#REF!,TRUE)</f>
        <v>279563</v>
      </c>
      <c r="G63" s="14"/>
      <c r="H63" s="14"/>
      <c r="I63" s="14"/>
      <c r="J63" s="14"/>
      <c r="K63" s="14"/>
      <c r="L63" s="14"/>
      <c r="M63" s="200"/>
      <c r="N63" s="110"/>
      <c r="O63" s="110"/>
      <c r="P63" s="110"/>
      <c r="Q63" s="110"/>
      <c r="R63" s="110"/>
      <c r="S63" s="110"/>
      <c r="T63" s="110"/>
      <c r="U63" s="14"/>
      <c r="V63" s="14"/>
      <c r="W63" s="14"/>
      <c r="CI63" s="67"/>
    </row>
    <row r="64" spans="1:87" ht="13" outlineLevel="1">
      <c r="A64" s="3"/>
      <c r="B64" s="9">
        <v>56</v>
      </c>
      <c r="C64" s="11">
        <v>5640</v>
      </c>
      <c r="D64" s="187">
        <v>53</v>
      </c>
      <c r="E64" s="11" t="s">
        <v>63</v>
      </c>
      <c r="F64" s="100">
        <f>HLOOKUP($E$3,$M$3:$T$261,#REF!,TRUE)</f>
        <v>201481</v>
      </c>
      <c r="G64" s="14"/>
      <c r="H64" s="14"/>
      <c r="I64" s="14"/>
      <c r="J64" s="14"/>
      <c r="K64" s="14"/>
      <c r="L64" s="14"/>
      <c r="M64" s="200"/>
      <c r="N64" s="110"/>
      <c r="O64" s="110"/>
      <c r="P64" s="110"/>
      <c r="Q64" s="110"/>
      <c r="R64" s="110"/>
      <c r="S64" s="110"/>
      <c r="T64" s="110"/>
      <c r="U64" s="14"/>
      <c r="V64" s="14"/>
      <c r="W64" s="14"/>
      <c r="CI64" s="67"/>
    </row>
    <row r="65" spans="1:87" ht="13" outlineLevel="1">
      <c r="A65" s="3"/>
      <c r="B65" s="9">
        <v>57</v>
      </c>
      <c r="C65" s="11">
        <v>5645</v>
      </c>
      <c r="D65" s="187">
        <v>54</v>
      </c>
      <c r="E65" s="11" t="s">
        <v>64</v>
      </c>
      <c r="F65" s="100">
        <f>HLOOKUP($E$3,$M$3:$T$261,#REF!,TRUE)</f>
        <v>922515</v>
      </c>
      <c r="G65" s="14"/>
      <c r="H65" s="14"/>
      <c r="I65" s="14"/>
      <c r="J65" s="14"/>
      <c r="K65" s="14"/>
      <c r="L65" s="14"/>
      <c r="M65" s="200"/>
      <c r="N65" s="110"/>
      <c r="O65" s="110"/>
      <c r="P65" s="110"/>
      <c r="Q65" s="110"/>
      <c r="R65" s="110"/>
      <c r="S65" s="110"/>
      <c r="T65" s="110"/>
      <c r="U65" s="14"/>
      <c r="V65" s="14"/>
      <c r="W65" s="14"/>
      <c r="CI65" s="67"/>
    </row>
    <row r="66" spans="1:87" ht="13" outlineLevel="1">
      <c r="A66" s="3"/>
      <c r="B66" s="9">
        <v>58</v>
      </c>
      <c r="C66" s="11">
        <v>5646</v>
      </c>
      <c r="D66" s="187">
        <v>55</v>
      </c>
      <c r="E66" s="11" t="s">
        <v>65</v>
      </c>
      <c r="F66" s="100">
        <f>HLOOKUP($E$3,$M$3:$T$261,#REF!,TRUE)</f>
        <v>0</v>
      </c>
      <c r="G66" s="14"/>
      <c r="H66" s="14"/>
      <c r="I66" s="14"/>
      <c r="J66" s="14"/>
      <c r="K66" s="14"/>
      <c r="L66" s="14"/>
      <c r="M66" s="200"/>
      <c r="N66" s="110"/>
      <c r="O66" s="110"/>
      <c r="P66" s="110"/>
      <c r="Q66" s="110"/>
      <c r="R66" s="110"/>
      <c r="S66" s="110"/>
      <c r="T66" s="110"/>
      <c r="U66" s="14"/>
      <c r="V66" s="14"/>
      <c r="W66" s="14"/>
      <c r="CI66" s="67"/>
    </row>
    <row r="67" spans="1:87" ht="13" outlineLevel="1">
      <c r="A67" s="3"/>
      <c r="B67" s="9">
        <v>59</v>
      </c>
      <c r="C67" s="11">
        <v>5647</v>
      </c>
      <c r="D67" s="187">
        <v>56</v>
      </c>
      <c r="E67" s="11" t="s">
        <v>66</v>
      </c>
      <c r="F67" s="100">
        <f>HLOOKUP($E$3,$M$3:$T$261,#REF!,TRUE)</f>
        <v>0</v>
      </c>
      <c r="G67" s="14"/>
      <c r="H67" s="14"/>
      <c r="I67" s="14"/>
      <c r="J67" s="14"/>
      <c r="K67" s="14"/>
      <c r="L67" s="14"/>
      <c r="M67" s="200"/>
      <c r="N67" s="110"/>
      <c r="O67" s="110"/>
      <c r="P67" s="110"/>
      <c r="Q67" s="110"/>
      <c r="R67" s="110"/>
      <c r="S67" s="110"/>
      <c r="T67" s="110"/>
      <c r="U67" s="14"/>
      <c r="V67" s="14"/>
      <c r="W67" s="14"/>
      <c r="CI67" s="67"/>
    </row>
    <row r="68" spans="1:87" ht="13" outlineLevel="1">
      <c r="A68" s="3"/>
      <c r="B68" s="9">
        <v>60</v>
      </c>
      <c r="C68" s="11">
        <v>5650</v>
      </c>
      <c r="D68" s="187">
        <v>57</v>
      </c>
      <c r="E68" s="11" t="s">
        <v>67</v>
      </c>
      <c r="F68" s="100">
        <f>HLOOKUP($E$3,$M$3:$T$261,#REF!,TRUE)</f>
        <v>0</v>
      </c>
      <c r="G68" s="14"/>
      <c r="H68" s="14"/>
      <c r="I68" s="14"/>
      <c r="J68" s="14"/>
      <c r="K68" s="14"/>
      <c r="L68" s="14"/>
      <c r="M68" s="200"/>
      <c r="N68" s="110"/>
      <c r="O68" s="110"/>
      <c r="P68" s="110"/>
      <c r="Q68" s="110"/>
      <c r="R68" s="110"/>
      <c r="S68" s="110"/>
      <c r="T68" s="110"/>
      <c r="U68" s="14"/>
      <c r="V68" s="14"/>
      <c r="W68" s="14"/>
      <c r="CI68" s="67"/>
    </row>
    <row r="69" spans="1:87" ht="13" outlineLevel="1">
      <c r="A69" s="3"/>
      <c r="B69" s="9">
        <v>61</v>
      </c>
      <c r="C69" s="11">
        <v>5655</v>
      </c>
      <c r="D69" s="187">
        <v>58</v>
      </c>
      <c r="E69" s="11" t="s">
        <v>68</v>
      </c>
      <c r="F69" s="100">
        <f>HLOOKUP($E$3,$M$3:$T$261,#REF!,TRUE)</f>
        <v>403300</v>
      </c>
      <c r="G69" s="14"/>
      <c r="H69" s="14"/>
      <c r="I69" s="14"/>
      <c r="J69" s="14"/>
      <c r="K69" s="14"/>
      <c r="L69" s="14"/>
      <c r="M69" s="200"/>
      <c r="N69" s="110"/>
      <c r="O69" s="110"/>
      <c r="P69" s="110"/>
      <c r="Q69" s="110"/>
      <c r="R69" s="110"/>
      <c r="S69" s="110"/>
      <c r="T69" s="110"/>
      <c r="U69" s="14"/>
      <c r="V69" s="14"/>
      <c r="W69" s="14"/>
      <c r="CI69" s="67"/>
    </row>
    <row r="70" spans="1:87" ht="13" outlineLevel="1">
      <c r="A70" s="3"/>
      <c r="B70" s="9">
        <v>62</v>
      </c>
      <c r="C70" s="11">
        <v>5665</v>
      </c>
      <c r="D70" s="187">
        <v>59</v>
      </c>
      <c r="E70" s="11" t="s">
        <v>69</v>
      </c>
      <c r="F70" s="100">
        <f>HLOOKUP($E$3,$M$3:$T$261,#REF!,TRUE)</f>
        <v>169994.82000000001</v>
      </c>
      <c r="G70" s="14"/>
      <c r="H70" s="14"/>
      <c r="I70" s="14"/>
      <c r="J70" s="14"/>
      <c r="K70" s="14"/>
      <c r="L70" s="14"/>
      <c r="M70" s="200"/>
      <c r="N70" s="110"/>
      <c r="O70" s="110"/>
      <c r="P70" s="110"/>
      <c r="Q70" s="110"/>
      <c r="R70" s="110"/>
      <c r="S70" s="110"/>
      <c r="T70" s="110"/>
      <c r="U70" s="14"/>
      <c r="V70" s="14"/>
      <c r="W70" s="14"/>
      <c r="CI70" s="67"/>
    </row>
    <row r="71" spans="1:87" ht="13" outlineLevel="1">
      <c r="A71" s="3"/>
      <c r="B71" s="9">
        <v>63</v>
      </c>
      <c r="C71" s="11">
        <v>5670</v>
      </c>
      <c r="D71" s="187">
        <v>60</v>
      </c>
      <c r="E71" s="11" t="s">
        <v>70</v>
      </c>
      <c r="F71" s="100">
        <f>HLOOKUP($E$3,$M$3:$T$261,#REF!,TRUE)</f>
        <v>329633</v>
      </c>
      <c r="G71" s="14"/>
      <c r="H71" s="14"/>
      <c r="I71" s="14"/>
      <c r="J71" s="14"/>
      <c r="K71" s="14"/>
      <c r="L71" s="14"/>
      <c r="M71" s="200"/>
      <c r="N71" s="110"/>
      <c r="O71" s="110"/>
      <c r="P71" s="110"/>
      <c r="Q71" s="110"/>
      <c r="R71" s="110"/>
      <c r="S71" s="110"/>
      <c r="T71" s="110"/>
      <c r="U71" s="14"/>
      <c r="V71" s="14"/>
      <c r="W71" s="14"/>
      <c r="CI71" s="67"/>
    </row>
    <row r="72" spans="1:87" ht="13" outlineLevel="1">
      <c r="A72" s="3"/>
      <c r="B72" s="9">
        <v>64</v>
      </c>
      <c r="C72" s="11">
        <v>5672</v>
      </c>
      <c r="D72" s="187">
        <v>61</v>
      </c>
      <c r="E72" s="11" t="s">
        <v>71</v>
      </c>
      <c r="F72" s="100">
        <f>HLOOKUP($E$3,$M$3:$T$261,#REF!,TRUE)</f>
        <v>0</v>
      </c>
      <c r="G72" s="14"/>
      <c r="H72" s="14"/>
      <c r="I72" s="14"/>
      <c r="J72" s="14"/>
      <c r="K72" s="14"/>
      <c r="L72" s="14"/>
      <c r="M72" s="200"/>
      <c r="N72" s="110"/>
      <c r="O72" s="110"/>
      <c r="P72" s="110"/>
      <c r="Q72" s="110"/>
      <c r="R72" s="110"/>
      <c r="S72" s="110"/>
      <c r="T72" s="110"/>
      <c r="U72" s="14"/>
      <c r="V72" s="14"/>
      <c r="W72" s="14"/>
      <c r="CI72" s="67"/>
    </row>
    <row r="73" spans="1:87" ht="13" outlineLevel="1">
      <c r="A73" s="3"/>
      <c r="B73" s="9">
        <v>65</v>
      </c>
      <c r="C73" s="11">
        <v>5675</v>
      </c>
      <c r="D73" s="187">
        <v>62</v>
      </c>
      <c r="E73" s="11" t="s">
        <v>72</v>
      </c>
      <c r="F73" s="100">
        <f>HLOOKUP($E$3,$M$3:$T$261,#REF!,TRUE)</f>
        <v>941314</v>
      </c>
      <c r="G73" s="14"/>
      <c r="H73" s="14"/>
      <c r="I73" s="14"/>
      <c r="J73" s="14"/>
      <c r="K73" s="14"/>
      <c r="L73" s="14"/>
      <c r="M73" s="200"/>
      <c r="N73" s="110"/>
      <c r="O73" s="110"/>
      <c r="P73" s="110"/>
      <c r="Q73" s="110"/>
      <c r="R73" s="110"/>
      <c r="S73" s="110"/>
      <c r="T73" s="110"/>
      <c r="U73" s="14"/>
      <c r="V73" s="14"/>
      <c r="W73" s="14"/>
      <c r="CI73" s="67"/>
    </row>
    <row r="74" spans="1:87" ht="13" outlineLevel="1">
      <c r="A74" s="3"/>
      <c r="B74" s="9">
        <v>66</v>
      </c>
      <c r="C74" s="11">
        <v>5680</v>
      </c>
      <c r="D74" s="187">
        <v>63</v>
      </c>
      <c r="E74" s="11" t="s">
        <v>73</v>
      </c>
      <c r="F74" s="100">
        <f>HLOOKUP($E$3,$M$3:$T$261,#REF!,TRUE)</f>
        <v>0</v>
      </c>
      <c r="G74" s="14"/>
      <c r="H74" s="14"/>
      <c r="I74" s="14"/>
      <c r="J74" s="14"/>
      <c r="K74" s="14"/>
      <c r="L74" s="14"/>
      <c r="M74" s="200"/>
      <c r="N74" s="110"/>
      <c r="O74" s="110"/>
      <c r="P74" s="110"/>
      <c r="Q74" s="110"/>
      <c r="R74" s="110"/>
      <c r="S74" s="110"/>
      <c r="T74" s="110"/>
      <c r="U74" s="14"/>
      <c r="V74" s="14"/>
      <c r="W74" s="14"/>
      <c r="CI74" s="67"/>
    </row>
    <row r="75" spans="1:87" ht="13">
      <c r="A75" s="3"/>
      <c r="B75" s="9">
        <v>67</v>
      </c>
      <c r="C75" s="12"/>
      <c r="D75" s="187"/>
      <c r="E75" s="16" t="s">
        <v>74</v>
      </c>
      <c r="F75" s="100">
        <f>HLOOKUP($E$3,$M$3:$T$261,#REF!,TRUE)</f>
        <v>6415031.8200000003</v>
      </c>
      <c r="G75" s="17"/>
      <c r="H75" s="17"/>
      <c r="I75" s="17"/>
      <c r="J75" s="17"/>
      <c r="K75" s="17"/>
      <c r="L75" s="17"/>
      <c r="M75" s="200"/>
      <c r="N75" s="110"/>
      <c r="O75" s="110"/>
      <c r="P75" s="110"/>
      <c r="Q75" s="110"/>
      <c r="R75" s="110"/>
      <c r="S75" s="111"/>
      <c r="T75" s="111"/>
      <c r="U75" s="17"/>
      <c r="V75" s="17"/>
      <c r="W75" s="17"/>
      <c r="CI75" s="67"/>
    </row>
    <row r="76" spans="1:87" ht="13" outlineLevel="1">
      <c r="A76" s="3"/>
      <c r="B76" s="9">
        <v>68</v>
      </c>
      <c r="C76" s="11">
        <v>5635</v>
      </c>
      <c r="D76" s="187">
        <v>64</v>
      </c>
      <c r="E76" s="11" t="s">
        <v>75</v>
      </c>
      <c r="F76" s="100">
        <f>HLOOKUP($E$3,$M$3:$T$261,#REF!,TRUE)</f>
        <v>101037</v>
      </c>
      <c r="G76" s="14"/>
      <c r="H76" s="14"/>
      <c r="I76" s="14"/>
      <c r="J76" s="14"/>
      <c r="K76" s="14"/>
      <c r="L76" s="14"/>
      <c r="M76" s="200"/>
      <c r="N76" s="110"/>
      <c r="O76" s="110"/>
      <c r="P76" s="110"/>
      <c r="Q76" s="110"/>
      <c r="R76" s="110"/>
      <c r="S76" s="110"/>
      <c r="T76" s="110"/>
      <c r="U76" s="14"/>
      <c r="V76" s="14"/>
      <c r="W76" s="14"/>
      <c r="CI76" s="67"/>
    </row>
    <row r="77" spans="1:87" ht="13" outlineLevel="1">
      <c r="A77" s="3"/>
      <c r="B77" s="9">
        <v>69</v>
      </c>
      <c r="C77" s="11">
        <v>6210</v>
      </c>
      <c r="D77" s="187">
        <v>65</v>
      </c>
      <c r="E77" s="11" t="s">
        <v>76</v>
      </c>
      <c r="F77" s="100">
        <f>HLOOKUP($E$3,$M$3:$T$261,#REF!,TRUE)</f>
        <v>0</v>
      </c>
      <c r="G77" s="14"/>
      <c r="H77" s="14"/>
      <c r="I77" s="14"/>
      <c r="J77" s="14"/>
      <c r="K77" s="14"/>
      <c r="L77" s="14"/>
      <c r="M77" s="200"/>
      <c r="N77" s="110"/>
      <c r="O77" s="110"/>
      <c r="P77" s="110"/>
      <c r="Q77" s="110"/>
      <c r="R77" s="110"/>
      <c r="S77" s="110"/>
      <c r="T77" s="110"/>
      <c r="U77" s="14"/>
      <c r="V77" s="14"/>
      <c r="W77" s="14"/>
      <c r="CI77" s="67"/>
    </row>
    <row r="78" spans="1:87" ht="13">
      <c r="A78" s="3"/>
      <c r="B78" s="9">
        <v>70</v>
      </c>
      <c r="D78" s="2"/>
      <c r="E78" s="16" t="s">
        <v>77</v>
      </c>
      <c r="F78" s="100">
        <f>HLOOKUP($E$3,$M$3:$T$261,#REF!,TRUE)</f>
        <v>101037</v>
      </c>
      <c r="G78" s="17"/>
      <c r="H78" s="17"/>
      <c r="I78" s="17"/>
      <c r="J78" s="17"/>
      <c r="K78" s="17"/>
      <c r="L78" s="17"/>
      <c r="M78" s="200"/>
      <c r="N78" s="110"/>
      <c r="O78" s="110"/>
      <c r="P78" s="110"/>
      <c r="Q78" s="110"/>
      <c r="R78" s="110"/>
      <c r="S78" s="111"/>
      <c r="T78" s="111"/>
      <c r="U78" s="17"/>
      <c r="V78" s="17"/>
      <c r="W78" s="17"/>
      <c r="CI78" s="67"/>
    </row>
    <row r="79" spans="1:87" ht="13" outlineLevel="1">
      <c r="A79" s="3"/>
      <c r="B79" s="9">
        <v>71</v>
      </c>
      <c r="C79" s="19">
        <v>5515</v>
      </c>
      <c r="D79" s="187">
        <v>46</v>
      </c>
      <c r="E79" s="11" t="s">
        <v>78</v>
      </c>
      <c r="F79" s="100">
        <f>HLOOKUP($E$3,$M$3:$T$261,#REF!,TRUE)</f>
        <v>0</v>
      </c>
      <c r="G79" s="14"/>
      <c r="H79" s="14"/>
      <c r="I79" s="14"/>
      <c r="J79" s="14"/>
      <c r="K79" s="14"/>
      <c r="L79" s="14"/>
      <c r="M79" s="200"/>
      <c r="N79" s="110"/>
      <c r="O79" s="110"/>
      <c r="P79" s="110"/>
      <c r="Q79" s="110"/>
      <c r="R79" s="110"/>
      <c r="S79" s="110"/>
      <c r="T79" s="110"/>
      <c r="U79" s="14"/>
      <c r="V79" s="14"/>
      <c r="W79" s="14"/>
      <c r="CI79" s="67"/>
    </row>
    <row r="80" spans="1:87" ht="13">
      <c r="A80" s="3"/>
      <c r="B80" s="9">
        <v>72</v>
      </c>
      <c r="C80" s="18"/>
      <c r="D80" s="15"/>
      <c r="E80" s="16" t="s">
        <v>79</v>
      </c>
      <c r="F80" s="100">
        <f>HLOOKUP($E$3,$M$3:$T$261,#REF!,TRUE)</f>
        <v>0</v>
      </c>
      <c r="G80" s="17"/>
      <c r="H80" s="17"/>
      <c r="I80" s="17"/>
      <c r="J80" s="17"/>
      <c r="K80" s="17"/>
      <c r="L80" s="17"/>
      <c r="M80" s="200"/>
      <c r="N80" s="110"/>
      <c r="O80" s="110"/>
      <c r="P80" s="110"/>
      <c r="Q80" s="110"/>
      <c r="R80" s="110"/>
      <c r="S80" s="111"/>
      <c r="T80" s="111"/>
      <c r="U80" s="17"/>
      <c r="V80" s="17"/>
      <c r="W80" s="17"/>
      <c r="CI80" s="67"/>
    </row>
    <row r="81" spans="1:87" ht="13">
      <c r="A81" s="3"/>
      <c r="B81" s="9">
        <v>73</v>
      </c>
      <c r="C81" s="18"/>
      <c r="D81" s="18"/>
      <c r="E81" s="16" t="s">
        <v>80</v>
      </c>
      <c r="F81" s="100">
        <f>HLOOKUP($E$3,$M$3:$T$261,#REF!,TRUE)</f>
        <v>12607249.100000002</v>
      </c>
      <c r="G81" s="3"/>
      <c r="H81" s="3"/>
      <c r="I81" s="3"/>
      <c r="J81" s="3"/>
      <c r="K81" s="3"/>
      <c r="M81" s="200"/>
      <c r="N81" s="110"/>
      <c r="O81" s="110"/>
      <c r="P81" s="110"/>
      <c r="Q81" s="110"/>
      <c r="R81" s="110"/>
      <c r="S81" s="109"/>
      <c r="T81" s="109"/>
      <c r="CI81" s="67"/>
    </row>
    <row r="82" spans="1:87" ht="13">
      <c r="A82" s="3"/>
      <c r="B82" s="9">
        <v>74</v>
      </c>
      <c r="C82" s="18"/>
      <c r="D82" s="18"/>
      <c r="E82" s="16"/>
      <c r="F82" s="28"/>
      <c r="G82" s="20"/>
      <c r="H82" s="20"/>
      <c r="I82" s="20"/>
      <c r="J82" s="20"/>
      <c r="K82" s="20"/>
      <c r="L82" s="20"/>
      <c r="M82" s="200"/>
      <c r="N82" s="110"/>
      <c r="O82" s="110"/>
      <c r="P82" s="110"/>
      <c r="Q82" s="110"/>
      <c r="R82" s="110"/>
      <c r="S82" s="112"/>
      <c r="T82" s="112"/>
      <c r="U82" s="20"/>
      <c r="V82" s="20"/>
      <c r="W82" s="20"/>
      <c r="CI82" s="67"/>
    </row>
    <row r="83" spans="1:87" ht="13">
      <c r="A83" s="3"/>
      <c r="B83" s="9">
        <v>75</v>
      </c>
      <c r="C83" s="21" t="s">
        <v>81</v>
      </c>
      <c r="D83" s="18"/>
      <c r="M83" s="200"/>
      <c r="N83" s="110"/>
      <c r="O83" s="110"/>
      <c r="P83" s="110"/>
      <c r="Q83" s="110"/>
      <c r="R83" s="110"/>
      <c r="S83" s="109"/>
      <c r="T83" s="109"/>
      <c r="CI83" s="67"/>
    </row>
    <row r="84" spans="2:87" s="3" customFormat="1" ht="13" outlineLevel="1">
      <c r="B84" s="9">
        <v>76</v>
      </c>
      <c r="C84" s="22"/>
      <c r="D84" s="22"/>
      <c r="E84" s="19">
        <v>5014</v>
      </c>
      <c r="F84" s="100">
        <f>HLOOKUP($E$3,$M$3:$T$261,#REF!,FALSE)</f>
        <v>0</v>
      </c>
      <c r="G84" s="7"/>
      <c r="H84" s="7"/>
      <c r="I84" s="7"/>
      <c r="J84" s="7"/>
      <c r="K84" s="7"/>
      <c r="L84" s="7"/>
      <c r="M84" s="200"/>
      <c r="N84" s="110"/>
      <c r="O84" s="110"/>
      <c r="P84" s="110"/>
      <c r="Q84" s="110"/>
      <c r="R84" s="110"/>
      <c r="S84" s="96"/>
      <c r="T84" s="96"/>
      <c r="U84" s="7"/>
      <c r="V84" s="7"/>
      <c r="W84" s="7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67"/>
    </row>
    <row r="85" spans="2:87" s="3" customFormat="1" ht="13" outlineLevel="1">
      <c r="B85" s="9">
        <v>77</v>
      </c>
      <c r="C85" s="22"/>
      <c r="D85" s="22"/>
      <c r="E85" s="19">
        <v>5015</v>
      </c>
      <c r="F85" s="100">
        <f>HLOOKUP($E$3,$M$3:$T$261,#REF!,FALSE)</f>
        <v>0</v>
      </c>
      <c r="G85" s="7"/>
      <c r="H85" s="7"/>
      <c r="I85" s="7"/>
      <c r="J85" s="7"/>
      <c r="K85" s="7"/>
      <c r="L85" s="7"/>
      <c r="M85" s="200"/>
      <c r="N85" s="110"/>
      <c r="O85" s="110"/>
      <c r="P85" s="110"/>
      <c r="Q85" s="110"/>
      <c r="R85" s="110"/>
      <c r="S85" s="96"/>
      <c r="T85" s="96"/>
      <c r="U85" s="7"/>
      <c r="V85" s="7"/>
      <c r="W85" s="7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67"/>
    </row>
    <row r="86" spans="2:87" s="3" customFormat="1" ht="13" outlineLevel="1">
      <c r="B86" s="9">
        <v>78</v>
      </c>
      <c r="C86" s="22"/>
      <c r="D86" s="22"/>
      <c r="E86" s="19">
        <v>5112</v>
      </c>
      <c r="F86" s="100">
        <f>HLOOKUP($E$3,$M$3:$T$261,#REF!,FALSE)</f>
        <v>0</v>
      </c>
      <c r="G86" s="7"/>
      <c r="H86" s="7"/>
      <c r="I86" s="7"/>
      <c r="J86" s="7"/>
      <c r="K86" s="7"/>
      <c r="L86" s="7"/>
      <c r="M86" s="200"/>
      <c r="N86" s="110"/>
      <c r="O86" s="110"/>
      <c r="P86" s="110"/>
      <c r="Q86" s="110"/>
      <c r="R86" s="110"/>
      <c r="S86" s="96"/>
      <c r="T86" s="96"/>
      <c r="U86" s="7"/>
      <c r="V86" s="7"/>
      <c r="W86" s="7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67"/>
    </row>
    <row r="87" spans="1:87" ht="13">
      <c r="A87" s="3"/>
      <c r="B87" s="9">
        <v>79</v>
      </c>
      <c r="C87" s="18"/>
      <c r="D87" s="18"/>
      <c r="E87" s="11" t="s">
        <v>82</v>
      </c>
      <c r="F87" s="100">
        <f>HLOOKUP($E$3,$M$3:$T$261,#REF!,FALSE)</f>
        <v>0</v>
      </c>
      <c r="G87" s="23"/>
      <c r="H87" s="23"/>
      <c r="I87" s="23"/>
      <c r="J87" s="23"/>
      <c r="K87" s="23"/>
      <c r="L87" s="23"/>
      <c r="M87" s="200"/>
      <c r="N87" s="110"/>
      <c r="O87" s="110"/>
      <c r="P87" s="110"/>
      <c r="Q87" s="110"/>
      <c r="R87" s="110"/>
      <c r="S87" s="96"/>
      <c r="T87" s="96"/>
      <c r="U87" s="23"/>
      <c r="V87" s="23"/>
      <c r="W87" s="23"/>
      <c r="CI87" s="67"/>
    </row>
    <row r="88" spans="1:87" ht="13.5" thickBot="1">
      <c r="A88" s="3"/>
      <c r="B88" s="9">
        <v>80</v>
      </c>
      <c r="C88" s="18"/>
      <c r="D88" s="18"/>
      <c r="E88" s="11" t="s">
        <v>83</v>
      </c>
      <c r="F88" s="100">
        <f>HLOOKUP($E$3,$M$3:$T$261,#REF!,FALSE)</f>
        <v>0</v>
      </c>
      <c r="G88" s="23"/>
      <c r="H88" s="23"/>
      <c r="I88" s="23"/>
      <c r="J88" s="23"/>
      <c r="K88" s="23"/>
      <c r="L88" s="23"/>
      <c r="M88" s="200"/>
      <c r="N88" s="110"/>
      <c r="O88" s="110"/>
      <c r="P88" s="110"/>
      <c r="Q88" s="110"/>
      <c r="R88" s="110"/>
      <c r="S88" s="96"/>
      <c r="T88" s="96"/>
      <c r="U88" s="23"/>
      <c r="V88" s="23"/>
      <c r="W88" s="23"/>
      <c r="CI88" s="67"/>
    </row>
    <row r="89" spans="1:87" ht="13.5" thickBot="1">
      <c r="A89" s="3"/>
      <c r="B89" s="9">
        <v>81</v>
      </c>
      <c r="C89" s="18"/>
      <c r="D89" s="18"/>
      <c r="E89" s="11" t="s">
        <v>84</v>
      </c>
      <c r="F89" s="100">
        <f>HLOOKUP($E$3,$M$3:$T$261,#REF!,FALSE)</f>
        <v>12607249.100000002</v>
      </c>
      <c r="G89" s="164">
        <f>'Model Inputs'!H31</f>
        <v>13274929.374058003</v>
      </c>
      <c r="H89" s="165">
        <f>'Model Inputs'!I31</f>
        <v>13526150.554729721</v>
      </c>
      <c r="I89" s="165">
        <f>'Model Inputs'!J31</f>
        <v>13797014.808630083</v>
      </c>
      <c r="J89" s="165">
        <f>'Model Inputs'!K31</f>
        <v>14077474.989584342</v>
      </c>
      <c r="K89" s="165">
        <f>'Model Inputs'!L31</f>
        <v>14363716.066685425</v>
      </c>
      <c r="L89" s="166">
        <f>'Model Inputs'!M31</f>
        <v>14661133.272738565</v>
      </c>
      <c r="M89" s="200"/>
      <c r="N89" s="110"/>
      <c r="O89" s="110"/>
      <c r="P89" s="110"/>
      <c r="Q89" s="110"/>
      <c r="R89" s="110"/>
      <c r="S89" s="112"/>
      <c r="T89" s="112"/>
      <c r="U89" s="20"/>
      <c r="V89" s="20"/>
      <c r="W89" s="20"/>
      <c r="CI89" s="67"/>
    </row>
    <row r="90" spans="1:87" ht="13">
      <c r="A90" s="3"/>
      <c r="B90" s="9">
        <v>82</v>
      </c>
      <c r="C90" s="18"/>
      <c r="D90" s="18"/>
      <c r="L90" s="89"/>
      <c r="M90" s="200"/>
      <c r="N90" s="110"/>
      <c r="O90" s="110"/>
      <c r="P90" s="110"/>
      <c r="Q90" s="110"/>
      <c r="R90" s="110"/>
      <c r="S90" s="109"/>
      <c r="T90" s="109"/>
      <c r="CI90" s="67"/>
    </row>
    <row r="91" spans="1:87" ht="13.5" thickBot="1">
      <c r="A91" s="3"/>
      <c r="B91" s="9">
        <v>83</v>
      </c>
      <c r="C91" s="21" t="s">
        <v>85</v>
      </c>
      <c r="D91" s="21"/>
      <c r="L91" s="89"/>
      <c r="M91" s="200"/>
      <c r="N91" s="110"/>
      <c r="O91" s="110"/>
      <c r="P91" s="110"/>
      <c r="Q91" s="110"/>
      <c r="R91" s="110"/>
      <c r="S91" s="109"/>
      <c r="T91" s="109"/>
      <c r="CI91" s="67"/>
    </row>
    <row r="92" spans="1:87" ht="13.5" thickBot="1">
      <c r="A92" s="3"/>
      <c r="B92" s="9">
        <v>84</v>
      </c>
      <c r="C92" s="18"/>
      <c r="D92" s="18"/>
      <c r="E92" s="11" t="s">
        <v>86</v>
      </c>
      <c r="F92" s="100">
        <f>HLOOKUP($E$3,$M$3:$T$261,#REF!,FALSE)</f>
        <v>29297557.620000001</v>
      </c>
      <c r="G92" s="164">
        <f>'Model Inputs'!H9</f>
        <v>18551000</v>
      </c>
      <c r="H92" s="165">
        <f>'Model Inputs'!I9</f>
        <v>16492500</v>
      </c>
      <c r="I92" s="165">
        <f>'Model Inputs'!J9</f>
        <v>15977000</v>
      </c>
      <c r="J92" s="165">
        <f>'Model Inputs'!K9</f>
        <v>15636000</v>
      </c>
      <c r="K92" s="165">
        <f>'Model Inputs'!L9</f>
        <v>15412000</v>
      </c>
      <c r="L92" s="166">
        <f>'Model Inputs'!M9</f>
        <v>15298000</v>
      </c>
      <c r="M92" s="200"/>
      <c r="N92" s="110"/>
      <c r="O92" s="110"/>
      <c r="P92" s="110"/>
      <c r="Q92" s="110"/>
      <c r="R92" s="110"/>
      <c r="S92" s="96"/>
      <c r="T92" s="96"/>
      <c r="U92" s="23"/>
      <c r="V92" s="23"/>
      <c r="W92" s="23"/>
      <c r="CI92" s="67"/>
    </row>
    <row r="93" spans="1:87" ht="13.5" thickBot="1">
      <c r="A93" s="3"/>
      <c r="B93" s="9">
        <v>85</v>
      </c>
      <c r="C93" s="18"/>
      <c r="D93" s="18"/>
      <c r="E93" s="11" t="s">
        <v>87</v>
      </c>
      <c r="F93" s="100">
        <f>HLOOKUP($E$3,$M$3:$T$261,#REF!,FALSE)</f>
        <v>0</v>
      </c>
      <c r="G93" s="164">
        <f>'Model Inputs'!H10</f>
        <v>0</v>
      </c>
      <c r="H93" s="165">
        <f>'Model Inputs'!I10</f>
        <v>0</v>
      </c>
      <c r="I93" s="165">
        <f>'Model Inputs'!J10</f>
        <v>0</v>
      </c>
      <c r="J93" s="165">
        <f>'Model Inputs'!K10</f>
        <v>0</v>
      </c>
      <c r="K93" s="165">
        <f>'Model Inputs'!L10</f>
        <v>0</v>
      </c>
      <c r="L93" s="166">
        <f>'Model Inputs'!M10</f>
        <v>0</v>
      </c>
      <c r="M93" s="200"/>
      <c r="N93" s="110"/>
      <c r="O93" s="110"/>
      <c r="P93" s="110"/>
      <c r="Q93" s="110"/>
      <c r="R93" s="110"/>
      <c r="S93" s="96"/>
      <c r="T93" s="96"/>
      <c r="U93" s="23"/>
      <c r="V93" s="23"/>
      <c r="W93" s="23"/>
      <c r="CI93" s="67"/>
    </row>
    <row r="94" spans="1:87" ht="13">
      <c r="A94" s="3"/>
      <c r="B94" s="9">
        <v>86</v>
      </c>
      <c r="C94" s="18"/>
      <c r="D94" s="18"/>
      <c r="L94" s="89"/>
      <c r="M94" s="200"/>
      <c r="N94" s="110"/>
      <c r="O94" s="110"/>
      <c r="P94" s="110"/>
      <c r="Q94" s="110"/>
      <c r="R94" s="110"/>
      <c r="S94" s="109"/>
      <c r="T94" s="109"/>
      <c r="CI94" s="67"/>
    </row>
    <row r="95" spans="1:87" ht="13.5" thickBot="1">
      <c r="A95" s="3"/>
      <c r="B95" s="9">
        <v>87</v>
      </c>
      <c r="C95" s="21" t="s">
        <v>88</v>
      </c>
      <c r="D95" s="21"/>
      <c r="L95" s="89"/>
      <c r="M95" s="200"/>
      <c r="N95" s="110"/>
      <c r="O95" s="110"/>
      <c r="P95" s="110"/>
      <c r="Q95" s="110"/>
      <c r="R95" s="110"/>
      <c r="S95" s="109"/>
      <c r="T95" s="109"/>
      <c r="CI95" s="67"/>
    </row>
    <row r="96" spans="1:87" ht="13.5" thickBot="1">
      <c r="A96" s="3"/>
      <c r="B96" s="9">
        <v>88</v>
      </c>
      <c r="C96" s="18"/>
      <c r="D96" s="18"/>
      <c r="E96" s="3" t="s">
        <v>89</v>
      </c>
      <c r="F96" s="100">
        <f>HLOOKUP($E$3,$M$3:$T$261,#REF!,FALSE)</f>
        <v>59183</v>
      </c>
      <c r="G96" s="164">
        <f>'Model Inputs'!H13</f>
        <v>60196.368183042832</v>
      </c>
      <c r="H96" s="165">
        <f>'Model Inputs'!I13</f>
        <v>61007.896710766232</v>
      </c>
      <c r="I96" s="165">
        <f>'Model Inputs'!J13</f>
        <v>61978.75</v>
      </c>
      <c r="J96" s="165">
        <f>'Model Inputs'!K13</f>
        <v>62965.75</v>
      </c>
      <c r="K96" s="165">
        <f>'Model Inputs'!L13</f>
        <v>63967.75</v>
      </c>
      <c r="L96" s="166">
        <f>'Model Inputs'!M13</f>
        <v>64986.75</v>
      </c>
      <c r="M96" s="200"/>
      <c r="N96" s="110"/>
      <c r="O96" s="110"/>
      <c r="P96" s="110"/>
      <c r="Q96" s="110"/>
      <c r="R96" s="110"/>
      <c r="S96" s="96"/>
      <c r="T96" s="96"/>
      <c r="U96" s="23"/>
      <c r="V96" s="23"/>
      <c r="W96" s="23"/>
      <c r="CI96" s="67"/>
    </row>
    <row r="97" spans="1:87" ht="13.5" thickBot="1">
      <c r="A97" s="3"/>
      <c r="B97" s="9">
        <v>89</v>
      </c>
      <c r="C97" s="18"/>
      <c r="D97" s="18"/>
      <c r="E97" s="3" t="s">
        <v>90</v>
      </c>
      <c r="F97" s="100">
        <f>HLOOKUP($E$3,$M$3:$T$261,#REF!,FALSE)</f>
        <v>1044351259</v>
      </c>
      <c r="G97" s="164">
        <f>'Model Inputs'!H14</f>
        <v>1078000816.8114338</v>
      </c>
      <c r="H97" s="165">
        <f>'Model Inputs'!I14</f>
        <v>1075667737.2425113</v>
      </c>
      <c r="I97" s="165">
        <f>'Model Inputs'!J14</f>
        <v>1068775790.2028364</v>
      </c>
      <c r="J97" s="165">
        <f>'Model Inputs'!K14</f>
        <v>1068774836.5596575</v>
      </c>
      <c r="K97" s="165">
        <f>'Model Inputs'!L14</f>
        <v>1072509116.7463137</v>
      </c>
      <c r="L97" s="166">
        <f>'Model Inputs'!M14</f>
        <v>1075338157.6556749</v>
      </c>
      <c r="M97" s="200"/>
      <c r="N97" s="110"/>
      <c r="O97" s="110"/>
      <c r="P97" s="110"/>
      <c r="Q97" s="110"/>
      <c r="R97" s="110"/>
      <c r="S97" s="96"/>
      <c r="T97" s="96"/>
      <c r="U97" s="23"/>
      <c r="V97" s="23"/>
      <c r="W97" s="23"/>
      <c r="CI97" s="67"/>
    </row>
    <row r="98" spans="1:87" ht="13.5" thickBot="1">
      <c r="A98" s="3"/>
      <c r="B98" s="9">
        <v>90</v>
      </c>
      <c r="E98" s="3" t="s">
        <v>91</v>
      </c>
      <c r="F98" s="100">
        <f>HLOOKUP($E$3,$M$3:$T$261,#REF!,FALSE)</f>
        <v>213296</v>
      </c>
      <c r="G98" s="164">
        <f>'Model Inputs'!H15</f>
        <v>213296</v>
      </c>
      <c r="H98" s="165">
        <f>'Model Inputs'!I15</f>
        <v>213296</v>
      </c>
      <c r="I98" s="165">
        <f>'Model Inputs'!J15</f>
        <v>213296</v>
      </c>
      <c r="J98" s="165">
        <f>'Model Inputs'!K15</f>
        <v>213296</v>
      </c>
      <c r="K98" s="165">
        <f>'Model Inputs'!L15</f>
        <v>213296</v>
      </c>
      <c r="L98" s="166">
        <f>'Model Inputs'!M15</f>
        <v>213296</v>
      </c>
      <c r="M98" s="200"/>
      <c r="N98" s="110"/>
      <c r="O98" s="110"/>
      <c r="P98" s="110"/>
      <c r="Q98" s="110"/>
      <c r="R98" s="110"/>
      <c r="S98" s="96"/>
      <c r="T98" s="96"/>
      <c r="U98" s="23"/>
      <c r="V98" s="23"/>
      <c r="W98" s="23"/>
      <c r="CI98" s="67"/>
    </row>
    <row r="99" spans="1:87" ht="13.5" thickBot="1">
      <c r="A99" s="3"/>
      <c r="B99" s="9">
        <v>91</v>
      </c>
      <c r="E99" s="11" t="s">
        <v>92</v>
      </c>
      <c r="F99" s="100">
        <f>HLOOKUP($E$3,$M$3:$T$261,#REF!,FALSE)</f>
        <v>1010</v>
      </c>
      <c r="G99" s="164">
        <f>'Model Inputs'!H16</f>
        <v>1010</v>
      </c>
      <c r="H99" s="165">
        <f>'Model Inputs'!I16</f>
        <v>1010</v>
      </c>
      <c r="I99" s="165">
        <f>'Model Inputs'!J16</f>
        <v>1010</v>
      </c>
      <c r="J99" s="165">
        <f>'Model Inputs'!K16</f>
        <v>1010</v>
      </c>
      <c r="K99" s="165">
        <f>'Model Inputs'!L16</f>
        <v>1010</v>
      </c>
      <c r="L99" s="166">
        <f>'Model Inputs'!M16</f>
        <v>1010</v>
      </c>
      <c r="M99" s="200"/>
      <c r="N99" s="110"/>
      <c r="O99" s="110"/>
      <c r="P99" s="110"/>
      <c r="Q99" s="110"/>
      <c r="R99" s="110"/>
      <c r="S99" s="96"/>
      <c r="T99" s="96"/>
      <c r="U99" s="23"/>
      <c r="V99" s="23"/>
      <c r="W99" s="23"/>
      <c r="CI99" s="67"/>
    </row>
    <row r="100" spans="2:87" s="3" customFormat="1" ht="13">
      <c r="B100" s="9">
        <v>92</v>
      </c>
      <c r="E100" s="19"/>
      <c r="F100" s="7"/>
      <c r="G100" s="7"/>
      <c r="H100" s="7"/>
      <c r="I100" s="7"/>
      <c r="J100" s="7"/>
      <c r="K100" s="7"/>
      <c r="L100" s="7"/>
      <c r="M100" s="200"/>
      <c r="N100" s="110"/>
      <c r="O100" s="110"/>
      <c r="P100" s="110"/>
      <c r="Q100" s="110"/>
      <c r="R100" s="110"/>
      <c r="S100" s="96"/>
      <c r="T100" s="96"/>
      <c r="U100" s="7"/>
      <c r="V100" s="7"/>
      <c r="W100" s="7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67"/>
    </row>
    <row r="101" spans="2:87" s="3" customFormat="1" ht="13">
      <c r="B101" s="9">
        <v>93</v>
      </c>
      <c r="E101" s="19"/>
      <c r="F101" s="7"/>
      <c r="G101" s="7"/>
      <c r="H101" s="7"/>
      <c r="I101" s="7"/>
      <c r="J101" s="7"/>
      <c r="K101" s="7"/>
      <c r="L101" s="7"/>
      <c r="M101" s="200"/>
      <c r="N101" s="110"/>
      <c r="O101" s="110"/>
      <c r="P101" s="110"/>
      <c r="Q101" s="110"/>
      <c r="R101" s="110"/>
      <c r="S101" s="96"/>
      <c r="T101" s="96"/>
      <c r="U101" s="7"/>
      <c r="V101" s="7"/>
      <c r="W101" s="7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67"/>
    </row>
    <row r="102" spans="1:87" s="3" customFormat="1" ht="13.5" thickBot="1">
      <c r="A102" s="281" t="s">
        <v>93</v>
      </c>
      <c r="B102" s="281"/>
      <c r="C102" s="281"/>
      <c r="D102" s="281"/>
      <c r="E102" s="281"/>
      <c r="F102" s="281"/>
      <c r="G102" s="281"/>
      <c r="H102" s="281"/>
      <c r="I102" s="281"/>
      <c r="J102" s="281"/>
      <c r="K102" s="281"/>
      <c r="L102" s="7"/>
      <c r="M102" s="200"/>
      <c r="N102" s="110"/>
      <c r="O102" s="110"/>
      <c r="P102" s="110"/>
      <c r="Q102" s="110"/>
      <c r="R102" s="110"/>
      <c r="S102" s="96"/>
      <c r="T102" s="96"/>
      <c r="U102" s="7"/>
      <c r="V102" s="7"/>
      <c r="W102" s="7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67"/>
    </row>
    <row r="103" spans="5:87" s="3" customFormat="1" ht="13.5" thickTop="1">
      <c r="E103" s="19"/>
      <c r="F103" s="7"/>
      <c r="G103" s="7"/>
      <c r="H103" s="7"/>
      <c r="I103" s="7"/>
      <c r="J103" s="7"/>
      <c r="K103" s="7"/>
      <c r="L103" s="7"/>
      <c r="M103" s="200"/>
      <c r="N103" s="110"/>
      <c r="O103" s="110"/>
      <c r="P103" s="110"/>
      <c r="Q103" s="110"/>
      <c r="R103" s="110"/>
      <c r="S103" s="96"/>
      <c r="T103" s="96"/>
      <c r="U103" s="7"/>
      <c r="V103" s="7"/>
      <c r="W103" s="7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67"/>
    </row>
    <row r="104" spans="1:87" ht="13">
      <c r="A104" s="3"/>
      <c r="B104" s="3"/>
      <c r="F104" s="7"/>
      <c r="G104" s="23"/>
      <c r="H104" s="23"/>
      <c r="I104" s="23"/>
      <c r="J104" s="23"/>
      <c r="K104" s="23"/>
      <c r="L104" s="23"/>
      <c r="M104" s="200"/>
      <c r="N104" s="110"/>
      <c r="O104" s="110"/>
      <c r="P104" s="110"/>
      <c r="Q104" s="110"/>
      <c r="R104" s="110"/>
      <c r="S104" s="96"/>
      <c r="T104" s="96"/>
      <c r="U104" s="23"/>
      <c r="V104" s="23"/>
      <c r="W104" s="23"/>
      <c r="CI104" s="67"/>
    </row>
    <row r="105" spans="1:87" ht="13">
      <c r="A105" s="3"/>
      <c r="B105" s="9">
        <v>94</v>
      </c>
      <c r="C105" s="26" t="s">
        <v>94</v>
      </c>
      <c r="D105" s="27"/>
      <c r="E105" s="3"/>
      <c r="M105" s="200"/>
      <c r="N105" s="110"/>
      <c r="O105" s="110"/>
      <c r="P105" s="110"/>
      <c r="Q105" s="110"/>
      <c r="R105" s="110"/>
      <c r="S105" s="109"/>
      <c r="T105" s="109"/>
      <c r="CI105" s="67"/>
    </row>
    <row r="106" spans="1:87" ht="13">
      <c r="A106" s="3"/>
      <c r="B106" s="9">
        <v>95</v>
      </c>
      <c r="C106" s="3"/>
      <c r="D106" s="3"/>
      <c r="E106" s="3"/>
      <c r="M106" s="200"/>
      <c r="N106" s="110"/>
      <c r="O106" s="110"/>
      <c r="P106" s="110"/>
      <c r="Q106" s="110"/>
      <c r="R106" s="110"/>
      <c r="S106" s="109"/>
      <c r="T106" s="109"/>
      <c r="CI106" s="67"/>
    </row>
    <row r="107" spans="1:87" ht="13">
      <c r="A107" s="3"/>
      <c r="B107" s="9">
        <v>96</v>
      </c>
      <c r="C107" s="3" t="s">
        <v>95</v>
      </c>
      <c r="D107" s="3"/>
      <c r="E107" s="3"/>
      <c r="F107" s="28">
        <f>HLOOKUP($E$3,$M$3:$T$261,#REF!,FALSE)</f>
        <v>12607249.100000002</v>
      </c>
      <c r="G107" s="28">
        <f>G89</f>
        <v>13274929.374058003</v>
      </c>
      <c r="H107" s="28">
        <f>H89</f>
        <v>13526150.554729721</v>
      </c>
      <c r="I107" s="28">
        <f>I89</f>
        <v>13797014.808630083</v>
      </c>
      <c r="J107" s="28">
        <f>J89</f>
        <v>14077474.989584342</v>
      </c>
      <c r="K107" s="28">
        <f>K89</f>
        <v>14363716.066685425</v>
      </c>
      <c r="M107" s="200"/>
      <c r="N107" s="110"/>
      <c r="O107" s="110"/>
      <c r="P107" s="110"/>
      <c r="Q107" s="110"/>
      <c r="R107" s="110"/>
      <c r="S107" s="109"/>
      <c r="T107" s="109"/>
      <c r="CI107" s="67"/>
    </row>
    <row r="108" spans="1:87" ht="13">
      <c r="A108" s="3"/>
      <c r="B108" s="9">
        <v>97</v>
      </c>
      <c r="C108" s="3"/>
      <c r="D108" s="3"/>
      <c r="E108" s="3"/>
      <c r="M108" s="200"/>
      <c r="N108" s="110"/>
      <c r="O108" s="110"/>
      <c r="P108" s="110"/>
      <c r="Q108" s="110"/>
      <c r="R108" s="110"/>
      <c r="S108" s="109"/>
      <c r="T108" s="109"/>
      <c r="CI108" s="67"/>
    </row>
    <row r="109" spans="1:87" ht="13.5" thickBot="1">
      <c r="A109" s="3"/>
      <c r="B109" s="9">
        <v>98</v>
      </c>
      <c r="C109" s="3" t="s">
        <v>96</v>
      </c>
      <c r="D109" s="3"/>
      <c r="E109" s="3"/>
      <c r="M109" s="200"/>
      <c r="N109" s="110"/>
      <c r="O109" s="110"/>
      <c r="P109" s="110"/>
      <c r="Q109" s="110"/>
      <c r="R109" s="110"/>
      <c r="S109" s="109"/>
      <c r="T109" s="109"/>
      <c r="CI109" s="67"/>
    </row>
    <row r="110" spans="1:87" ht="13.5" thickBot="1">
      <c r="A110" s="3"/>
      <c r="B110" s="9">
        <v>99</v>
      </c>
      <c r="C110" s="3"/>
      <c r="D110" s="3"/>
      <c r="E110" s="3" t="s">
        <v>97</v>
      </c>
      <c r="F110" s="101">
        <f>HLOOKUP($E$3,$M$3:$T$261,#REF!,FALSE)</f>
        <v>0.060176</v>
      </c>
      <c r="G110" s="167">
        <f>'Model Inputs'!H22</f>
        <v>0.053199999999999997</v>
      </c>
      <c r="H110" s="168">
        <f>'Model Inputs'!I22</f>
        <v>0.050000000000000003</v>
      </c>
      <c r="I110" s="168">
        <f>'Model Inputs'!J22</f>
        <v>0.050000000000000003</v>
      </c>
      <c r="J110" s="168">
        <f>'Model Inputs'!K22</f>
        <v>0.050000000000000003</v>
      </c>
      <c r="K110" s="168">
        <f>'Model Inputs'!L22</f>
        <v>0.050000000000000003</v>
      </c>
      <c r="L110" s="169">
        <f>'Model Inputs'!M22</f>
        <v>0.050000000000000003</v>
      </c>
      <c r="M110" s="200"/>
      <c r="N110" s="110"/>
      <c r="O110" s="110"/>
      <c r="P110" s="110"/>
      <c r="Q110" s="110"/>
      <c r="R110" s="110"/>
      <c r="S110" s="109"/>
      <c r="T110" s="109"/>
      <c r="CI110" s="67"/>
    </row>
    <row r="111" spans="1:87" ht="13.5" thickBot="1">
      <c r="A111" s="3"/>
      <c r="B111" s="9">
        <v>100</v>
      </c>
      <c r="C111" s="3"/>
      <c r="D111" s="3"/>
      <c r="E111" s="3" t="s">
        <v>98</v>
      </c>
      <c r="F111" s="29">
        <f>HLOOKUP($E$3,$M$3:$T$261,#REF!,FALSE)</f>
        <v>0.045900000000000003</v>
      </c>
      <c r="G111" s="29">
        <v>0.045900000000000003</v>
      </c>
      <c r="H111" s="29">
        <v>0.045900000000000003</v>
      </c>
      <c r="I111" s="29">
        <v>0.045900000000000003</v>
      </c>
      <c r="J111" s="29">
        <v>0.045900000000000003</v>
      </c>
      <c r="K111" s="29">
        <v>0.045900000000000003</v>
      </c>
      <c r="L111" s="29">
        <f>K111</f>
        <v>0.045900000000000003</v>
      </c>
      <c r="M111" s="200"/>
      <c r="N111" s="110"/>
      <c r="O111" s="110"/>
      <c r="P111" s="110"/>
      <c r="Q111" s="110"/>
      <c r="R111" s="110"/>
      <c r="S111" s="109"/>
      <c r="T111" s="109"/>
      <c r="CI111" s="67"/>
    </row>
    <row r="112" spans="1:87" ht="13.5" thickBot="1">
      <c r="A112" s="3"/>
      <c r="B112" s="9">
        <v>101</v>
      </c>
      <c r="C112" s="3"/>
      <c r="D112" s="3"/>
      <c r="E112" s="3" t="s">
        <v>99</v>
      </c>
      <c r="F112" s="32">
        <f>HLOOKUP($E$3,$M$3:$T$261,#REF!,FALSE)</f>
        <v>173.41619499024228</v>
      </c>
      <c r="G112" s="170">
        <f>F112*EXP('Model Inputs'!H21)</f>
        <v>176.91943451138633</v>
      </c>
      <c r="H112" s="171">
        <f>G112*EXP('Model Inputs'!I21)</f>
        <v>180.4934441652922</v>
      </c>
      <c r="I112" s="171">
        <f>H112*EXP('Model Inputs'!J21)</f>
        <v>184.13965360347552</v>
      </c>
      <c r="J112" s="171">
        <f>I112*EXP('Model Inputs'!K21)</f>
        <v>187.85952135832835</v>
      </c>
      <c r="K112" s="171">
        <f>J112*EXP('Model Inputs'!L21)</f>
        <v>191.65453542655152</v>
      </c>
      <c r="L112" s="172">
        <f>K112*EXP('Model Inputs'!M21)</f>
        <v>195.5262138643732</v>
      </c>
      <c r="M112" s="200"/>
      <c r="N112" s="110"/>
      <c r="O112" s="110"/>
      <c r="P112" s="110"/>
      <c r="Q112" s="110"/>
      <c r="R112" s="110"/>
      <c r="S112" s="109"/>
      <c r="T112" s="109"/>
      <c r="CI112" s="67"/>
    </row>
    <row r="113" spans="1:87" ht="13.5" thickBot="1">
      <c r="A113" s="3"/>
      <c r="B113" s="9">
        <v>102</v>
      </c>
      <c r="C113" s="3"/>
      <c r="D113" s="3"/>
      <c r="E113" s="3" t="s">
        <v>100</v>
      </c>
      <c r="F113" s="28">
        <f>HLOOKUP($E$3,$M$3:$T$261,#REF!,FALSE)</f>
        <v>18.193319016886882</v>
      </c>
      <c r="G113" s="28">
        <f>F112*G110+G111*G112</f>
        <v>17.346343617553522</v>
      </c>
      <c r="H113" s="28">
        <f>G112*H110+H111*H112</f>
        <v>17.130620812756227</v>
      </c>
      <c r="I113" s="28">
        <f>H112*I110+I111*I112</f>
        <v>17.476682308664138</v>
      </c>
      <c r="J113" s="28">
        <f>I112*J110+J111*J112</f>
        <v>17.829734710521048</v>
      </c>
      <c r="K113" s="28">
        <f>J112*K110+K111*K112</f>
        <v>18.189919243995135</v>
      </c>
      <c r="L113" s="28">
        <f>K112*L110+L111*L112</f>
        <v>18.557379987702308</v>
      </c>
      <c r="M113" s="200"/>
      <c r="N113" s="110"/>
      <c r="O113" s="110"/>
      <c r="P113" s="110"/>
      <c r="Q113" s="110"/>
      <c r="R113" s="110"/>
      <c r="S113" s="109"/>
      <c r="T113" s="109"/>
      <c r="CI113" s="67"/>
    </row>
    <row r="114" spans="1:87" ht="13">
      <c r="A114" s="3"/>
      <c r="B114" s="9">
        <v>103</v>
      </c>
      <c r="C114" s="3"/>
      <c r="D114" s="3"/>
      <c r="E114" s="3" t="s">
        <v>101</v>
      </c>
      <c r="F114" s="7">
        <f>HLOOKUP($E$3,$M$3:$T$261,#REF!,FALSE)</f>
        <v>29297557.620000001</v>
      </c>
      <c r="G114" s="173">
        <f>G92</f>
        <v>18551000</v>
      </c>
      <c r="H114" s="174">
        <f>H92</f>
        <v>16492500</v>
      </c>
      <c r="I114" s="174">
        <f>I92</f>
        <v>15977000</v>
      </c>
      <c r="J114" s="174">
        <f>J92</f>
        <v>15636000</v>
      </c>
      <c r="K114" s="174">
        <f>K92</f>
        <v>15412000</v>
      </c>
      <c r="L114" s="175">
        <f>L92</f>
        <v>15298000</v>
      </c>
      <c r="M114" s="200"/>
      <c r="N114" s="110"/>
      <c r="O114" s="110"/>
      <c r="P114" s="110"/>
      <c r="Q114" s="110"/>
      <c r="R114" s="110"/>
      <c r="S114" s="109"/>
      <c r="T114" s="109"/>
      <c r="CI114" s="67"/>
    </row>
    <row r="115" spans="1:87" ht="13.5" thickBot="1">
      <c r="A115" s="3"/>
      <c r="B115" s="9">
        <v>104</v>
      </c>
      <c r="C115" s="3"/>
      <c r="D115" s="3"/>
      <c r="E115" s="3" t="s">
        <v>102</v>
      </c>
      <c r="F115" s="7">
        <f>HLOOKUP($E$3,$M$3:$T$261,#REF!,FALSE)</f>
        <v>0</v>
      </c>
      <c r="G115" s="176">
        <f>G93</f>
        <v>0</v>
      </c>
      <c r="H115" s="177">
        <f>H93</f>
        <v>0</v>
      </c>
      <c r="I115" s="177">
        <f>I93</f>
        <v>0</v>
      </c>
      <c r="J115" s="177">
        <f>J93</f>
        <v>0</v>
      </c>
      <c r="K115" s="177">
        <f>K93</f>
        <v>0</v>
      </c>
      <c r="L115" s="178">
        <f>L93</f>
        <v>0</v>
      </c>
      <c r="M115" s="200"/>
      <c r="N115" s="110"/>
      <c r="O115" s="110"/>
      <c r="P115" s="110"/>
      <c r="Q115" s="110"/>
      <c r="R115" s="110"/>
      <c r="S115" s="109"/>
      <c r="T115" s="109"/>
      <c r="CI115" s="67"/>
    </row>
    <row r="116" spans="1:87" ht="13">
      <c r="A116" s="3"/>
      <c r="B116" s="9">
        <v>105</v>
      </c>
      <c r="C116" s="3"/>
      <c r="D116" s="3"/>
      <c r="E116" s="3" t="s">
        <v>103</v>
      </c>
      <c r="F116" s="7">
        <f>HLOOKUP($E$3,$M$3:$T$261,#REF!,FALSE)</f>
        <v>168943.60772734351</v>
      </c>
      <c r="G116" s="7">
        <f>(G114-G115)/G112</f>
        <v>104855.63698094501</v>
      </c>
      <c r="H116" s="7">
        <f>(H114-H115)/H112</f>
        <v>91374.50989575281</v>
      </c>
      <c r="I116" s="7">
        <f>(I114-I115)/I112</f>
        <v>86765.66772741254</v>
      </c>
      <c r="J116" s="7">
        <f>(J114-J115)/J112</f>
        <v>83232.406251985856</v>
      </c>
      <c r="K116" s="7">
        <f>(K114-K115)/K112</f>
        <v>80415.524556716788</v>
      </c>
      <c r="L116" s="7">
        <f>(L114-L115)/L112</f>
        <v>78240.148457083415</v>
      </c>
      <c r="M116" s="200"/>
      <c r="N116" s="110"/>
      <c r="O116" s="110"/>
      <c r="P116" s="110"/>
      <c r="Q116" s="110"/>
      <c r="R116" s="110"/>
      <c r="S116" s="109"/>
      <c r="T116" s="109"/>
      <c r="CI116" s="67"/>
    </row>
    <row r="117" spans="1:87" ht="13">
      <c r="A117" s="3"/>
      <c r="B117" s="9">
        <v>106</v>
      </c>
      <c r="C117" s="3"/>
      <c r="D117" s="3"/>
      <c r="E117" s="3" t="s">
        <v>104</v>
      </c>
      <c r="F117" s="24">
        <f>HLOOKUP($E$3,$M$3:$T$261,#REF!,FALSE)</f>
        <v>52119.964779225142</v>
      </c>
      <c r="G117" s="24">
        <f>G111*F118</f>
        <v>57482.169990543771</v>
      </c>
      <c r="H117" s="24">
        <f>H111*G118</f>
        <v>59656.61212540319</v>
      </c>
      <c r="I117" s="24">
        <f>I111*H118</f>
        <v>61112.463633062238</v>
      </c>
      <c r="J117" s="24">
        <f>J111*I118</f>
        <v>62289.945700992903</v>
      </c>
      <c r="K117" s="24">
        <f>K111*J118</f>
        <v>63251.204640283482</v>
      </c>
      <c r="L117" s="24">
        <f>L111*K118</f>
        <v>64039.046924447764</v>
      </c>
      <c r="M117" s="200"/>
      <c r="N117" s="110"/>
      <c r="O117" s="110"/>
      <c r="P117" s="110"/>
      <c r="Q117" s="110"/>
      <c r="R117" s="110"/>
      <c r="S117" s="109"/>
      <c r="T117" s="109"/>
      <c r="CI117" s="67"/>
    </row>
    <row r="118" spans="1:87" ht="13">
      <c r="A118" s="3"/>
      <c r="B118" s="9">
        <v>107</v>
      </c>
      <c r="C118" s="3"/>
      <c r="D118" s="3"/>
      <c r="E118" s="3" t="s">
        <v>105</v>
      </c>
      <c r="F118" s="24">
        <f>HLOOKUP($E$3,$M$3:$T$261,#REF!,FALSE)</f>
        <v>1252334.8581817814</v>
      </c>
      <c r="G118" s="24">
        <f>F118+G116-G117</f>
        <v>1299708.3251721826</v>
      </c>
      <c r="H118" s="24">
        <f>G118+H116-H117</f>
        <v>1331426.2229425323</v>
      </c>
      <c r="I118" s="24">
        <f>H118+I116-I117</f>
        <v>1357079.4270368824</v>
      </c>
      <c r="J118" s="24">
        <f>I118+J116-J117</f>
        <v>1378021.8875878754</v>
      </c>
      <c r="K118" s="24">
        <f>J118+K116-K117</f>
        <v>1395186.2075043086</v>
      </c>
      <c r="L118" s="24">
        <f>K118+L116-L117</f>
        <v>1409387.3090369441</v>
      </c>
      <c r="M118" s="200"/>
      <c r="N118" s="110"/>
      <c r="O118" s="110"/>
      <c r="P118" s="110"/>
      <c r="Q118" s="110"/>
      <c r="R118" s="110"/>
      <c r="S118" s="109"/>
      <c r="T118" s="109"/>
      <c r="CI118" s="67"/>
    </row>
    <row r="119" spans="1:87" ht="13">
      <c r="A119" s="3"/>
      <c r="B119" s="9">
        <v>108</v>
      </c>
      <c r="C119" s="3"/>
      <c r="D119" s="3"/>
      <c r="E119" s="3" t="s">
        <v>106</v>
      </c>
      <c r="F119" s="24">
        <f>HLOOKUP($E$3,$M$3:$T$261,#REF!,FALSE)</f>
        <v>22784127.590868939</v>
      </c>
      <c r="G119" s="24">
        <f>G113*G118</f>
        <v>22545187.211031668</v>
      </c>
      <c r="H119" s="24">
        <f>H113*H118</f>
        <v>22808157.765388757</v>
      </c>
      <c r="I119" s="24">
        <f>I113*I118</f>
        <v>23717246.013947546</v>
      </c>
      <c r="J119" s="24">
        <f>J113*J118</f>
        <v>24569764.680983275</v>
      </c>
      <c r="K119" s="24">
        <f>K113*K118</f>
        <v>25378324.444839213</v>
      </c>
      <c r="L119" s="24">
        <f>L113*L118</f>
        <v>26154535.843643796</v>
      </c>
      <c r="M119" s="200"/>
      <c r="N119" s="110"/>
      <c r="O119" s="110"/>
      <c r="P119" s="110"/>
      <c r="Q119" s="110"/>
      <c r="R119" s="110"/>
      <c r="S119" s="109"/>
      <c r="T119" s="109"/>
      <c r="CI119" s="67"/>
    </row>
    <row r="120" spans="1:87" ht="13">
      <c r="A120" s="3"/>
      <c r="B120" s="9">
        <v>109</v>
      </c>
      <c r="C120" s="3"/>
      <c r="D120" s="3"/>
      <c r="E120" s="3"/>
      <c r="G120" s="3"/>
      <c r="H120" s="3"/>
      <c r="I120" s="3"/>
      <c r="J120" s="3"/>
      <c r="K120" s="3"/>
      <c r="L120" s="3"/>
      <c r="M120" s="200"/>
      <c r="N120" s="110"/>
      <c r="O120" s="110"/>
      <c r="P120" s="110"/>
      <c r="Q120" s="110"/>
      <c r="R120" s="110"/>
      <c r="S120" s="109"/>
      <c r="T120" s="109"/>
      <c r="CI120" s="67"/>
    </row>
    <row r="121" spans="1:87" ht="13">
      <c r="A121" s="3"/>
      <c r="B121" s="9">
        <v>110</v>
      </c>
      <c r="C121" s="3" t="s">
        <v>107</v>
      </c>
      <c r="D121" s="3"/>
      <c r="E121" s="3"/>
      <c r="F121" s="24">
        <f>HLOOKUP($E$3,$M$3:$T$261,#REF!,FALSE)</f>
        <v>35391376.690868944</v>
      </c>
      <c r="G121" s="24">
        <f>G107+G119</f>
        <v>35820116.585089669</v>
      </c>
      <c r="H121" s="24">
        <f>H107+H119</f>
        <v>36334308.320118479</v>
      </c>
      <c r="I121" s="24">
        <f>I107+I119</f>
        <v>37514260.822577626</v>
      </c>
      <c r="J121" s="24">
        <f>J107+J119</f>
        <v>38647239.670567617</v>
      </c>
      <c r="K121" s="24">
        <f>K107+K119</f>
        <v>39742040.51152464</v>
      </c>
      <c r="L121" s="24">
        <f>L107+L119</f>
        <v>26154535.843643796</v>
      </c>
      <c r="M121" s="200"/>
      <c r="N121" s="110"/>
      <c r="O121" s="110"/>
      <c r="P121" s="110"/>
      <c r="Q121" s="110"/>
      <c r="R121" s="110"/>
      <c r="S121" s="109"/>
      <c r="T121" s="109"/>
      <c r="CI121" s="67"/>
    </row>
    <row r="122" spans="1:87" ht="13">
      <c r="A122" s="3"/>
      <c r="B122" s="3"/>
      <c r="C122" s="3"/>
      <c r="D122" s="3"/>
      <c r="E122" s="3"/>
      <c r="M122" s="200"/>
      <c r="N122" s="110"/>
      <c r="O122" s="110"/>
      <c r="P122" s="110"/>
      <c r="Q122" s="110"/>
      <c r="R122" s="110"/>
      <c r="S122" s="109"/>
      <c r="T122" s="109"/>
      <c r="CI122" s="67"/>
    </row>
    <row r="123" spans="1:87" s="3" customFormat="1" ht="13.5" thickBot="1">
      <c r="A123" s="281" t="s">
        <v>108</v>
      </c>
      <c r="B123" s="281"/>
      <c r="C123" s="281"/>
      <c r="D123" s="281"/>
      <c r="E123" s="281"/>
      <c r="F123" s="281"/>
      <c r="G123" s="281"/>
      <c r="H123" s="281"/>
      <c r="I123" s="281"/>
      <c r="J123" s="281"/>
      <c r="K123" s="281"/>
      <c r="L123" s="7"/>
      <c r="M123" s="200"/>
      <c r="N123" s="110"/>
      <c r="O123" s="110"/>
      <c r="P123" s="110"/>
      <c r="Q123" s="110"/>
      <c r="R123" s="110"/>
      <c r="S123" s="96"/>
      <c r="T123" s="96"/>
      <c r="U123" s="7"/>
      <c r="V123" s="7"/>
      <c r="W123" s="7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67"/>
    </row>
    <row r="124" spans="1:87" ht="13.5" thickTop="1">
      <c r="A124" s="3"/>
      <c r="B124" s="3"/>
      <c r="C124" s="3"/>
      <c r="D124" s="3"/>
      <c r="E124" s="3"/>
      <c r="M124" s="200"/>
      <c r="N124" s="110"/>
      <c r="O124" s="110"/>
      <c r="P124" s="110"/>
      <c r="Q124" s="110"/>
      <c r="R124" s="110"/>
      <c r="S124" s="109"/>
      <c r="T124" s="109"/>
      <c r="CI124" s="67"/>
    </row>
    <row r="125" spans="1:87" ht="13">
      <c r="A125" s="3"/>
      <c r="B125" s="9">
        <v>111</v>
      </c>
      <c r="C125" s="33" t="s">
        <v>109</v>
      </c>
      <c r="D125" s="27"/>
      <c r="E125" s="3"/>
      <c r="M125" s="200"/>
      <c r="N125" s="110"/>
      <c r="O125" s="110"/>
      <c r="P125" s="110"/>
      <c r="Q125" s="110"/>
      <c r="R125" s="110"/>
      <c r="S125" s="109"/>
      <c r="T125" s="109"/>
      <c r="CI125" s="67"/>
    </row>
    <row r="126" spans="1:87" ht="13">
      <c r="A126" s="3"/>
      <c r="B126" s="9">
        <v>112</v>
      </c>
      <c r="C126" s="3"/>
      <c r="D126" s="3"/>
      <c r="E126" s="3"/>
      <c r="M126" s="200"/>
      <c r="N126" s="110"/>
      <c r="O126" s="110"/>
      <c r="P126" s="110"/>
      <c r="Q126" s="110"/>
      <c r="R126" s="110"/>
      <c r="S126" s="109"/>
      <c r="T126" s="109"/>
      <c r="CI126" s="67"/>
    </row>
    <row r="127" spans="1:87" ht="13">
      <c r="A127" s="3"/>
      <c r="B127" s="9">
        <v>113</v>
      </c>
      <c r="C127" s="3"/>
      <c r="D127" s="3"/>
      <c r="E127" s="34" t="s">
        <v>110</v>
      </c>
      <c r="F127" s="35"/>
      <c r="G127" s="4"/>
      <c r="H127" s="4"/>
      <c r="I127" s="4"/>
      <c r="J127" s="4"/>
      <c r="M127" s="200"/>
      <c r="N127" s="110"/>
      <c r="O127" s="110"/>
      <c r="P127" s="110"/>
      <c r="Q127" s="110"/>
      <c r="R127" s="110"/>
      <c r="S127" s="109"/>
      <c r="T127" s="109"/>
      <c r="CI127" s="67"/>
    </row>
    <row r="128" spans="1:87" ht="13">
      <c r="A128" s="3"/>
      <c r="B128" s="9">
        <v>114</v>
      </c>
      <c r="C128" s="3"/>
      <c r="D128" s="3"/>
      <c r="E128" s="36" t="s">
        <v>89</v>
      </c>
      <c r="F128" s="7">
        <f>HLOOKUP($E$3,$M$3:$T$261,#REF!,FALSE)</f>
        <v>59183</v>
      </c>
      <c r="G128" s="7">
        <f>G96</f>
        <v>60196.368183042832</v>
      </c>
      <c r="H128" s="7">
        <f>H96</f>
        <v>61007.896710766232</v>
      </c>
      <c r="I128" s="7">
        <f>I96</f>
        <v>61978.75</v>
      </c>
      <c r="J128" s="7">
        <f>J96</f>
        <v>62965.75</v>
      </c>
      <c r="K128" s="7">
        <f>K96</f>
        <v>63967.75</v>
      </c>
      <c r="L128" s="7">
        <f>L96</f>
        <v>64986.75</v>
      </c>
      <c r="M128" s="200"/>
      <c r="N128" s="110"/>
      <c r="O128" s="110"/>
      <c r="P128" s="110"/>
      <c r="Q128" s="110"/>
      <c r="R128" s="110"/>
      <c r="S128" s="109"/>
      <c r="T128" s="109"/>
      <c r="CI128" s="67"/>
    </row>
    <row r="129" spans="1:87" ht="13">
      <c r="A129" s="3"/>
      <c r="B129" s="9">
        <v>115</v>
      </c>
      <c r="C129" s="3"/>
      <c r="D129" s="3"/>
      <c r="E129" s="36" t="s">
        <v>90</v>
      </c>
      <c r="F129" s="38">
        <f>HLOOKUP($E$3,$M$3:$T$261,#REF!,FALSE)</f>
        <v>1044351259</v>
      </c>
      <c r="G129" s="38">
        <f>G97</f>
        <v>1078000816.8114338</v>
      </c>
      <c r="H129" s="38">
        <f>H97</f>
        <v>1075667737.2425113</v>
      </c>
      <c r="I129" s="38">
        <f>I97</f>
        <v>1068775790.2028364</v>
      </c>
      <c r="J129" s="38">
        <f>J97</f>
        <v>1068774836.5596575</v>
      </c>
      <c r="K129" s="38">
        <f>K97</f>
        <v>1072509116.7463137</v>
      </c>
      <c r="L129" s="38">
        <f>L97</f>
        <v>1075338157.6556749</v>
      </c>
      <c r="M129" s="200"/>
      <c r="N129" s="110"/>
      <c r="O129" s="110"/>
      <c r="P129" s="110"/>
      <c r="Q129" s="110"/>
      <c r="R129" s="110"/>
      <c r="S129" s="109"/>
      <c r="T129" s="109"/>
      <c r="CI129" s="67"/>
    </row>
    <row r="130" spans="1:87" ht="13">
      <c r="A130" s="3"/>
      <c r="B130" s="9">
        <v>116</v>
      </c>
      <c r="C130" s="3"/>
      <c r="D130" s="3"/>
      <c r="E130" s="36" t="s">
        <v>91</v>
      </c>
      <c r="F130" s="7">
        <f>HLOOKUP($E$3,$M$3:$T$261,#REF!,FALSE)</f>
        <v>213296</v>
      </c>
      <c r="G130" s="7">
        <f>G98</f>
        <v>213296</v>
      </c>
      <c r="H130" s="7">
        <f>H98</f>
        <v>213296</v>
      </c>
      <c r="I130" s="7">
        <f>I98</f>
        <v>213296</v>
      </c>
      <c r="J130" s="7">
        <f>J98</f>
        <v>213296</v>
      </c>
      <c r="K130" s="7">
        <f>K98</f>
        <v>213296</v>
      </c>
      <c r="L130" s="7">
        <f>L98</f>
        <v>213296</v>
      </c>
      <c r="M130" s="200"/>
      <c r="N130" s="110"/>
      <c r="O130" s="110"/>
      <c r="P130" s="110"/>
      <c r="Q130" s="110"/>
      <c r="R130" s="110"/>
      <c r="S130" s="109"/>
      <c r="T130" s="109"/>
      <c r="CI130" s="67"/>
    </row>
    <row r="131" spans="1:87" ht="13">
      <c r="A131" s="3"/>
      <c r="B131" s="9">
        <v>117</v>
      </c>
      <c r="C131" s="3"/>
      <c r="D131" s="3"/>
      <c r="E131" s="36" t="s">
        <v>111</v>
      </c>
      <c r="F131" s="7">
        <f>HLOOKUP($E$3,$M$3:$T$261,#REF!,FALSE)</f>
        <v>234849</v>
      </c>
      <c r="G131" s="7">
        <f>MAX(F131,G130)</f>
        <v>234849</v>
      </c>
      <c r="H131" s="7">
        <f>MAX(G131,H130)</f>
        <v>234849</v>
      </c>
      <c r="I131" s="7">
        <f>MAX(H131,I130)</f>
        <v>234849</v>
      </c>
      <c r="J131" s="7">
        <f>MAX(I131,J130)</f>
        <v>234849</v>
      </c>
      <c r="K131" s="7">
        <f>MAX(J131,K130)</f>
        <v>234849</v>
      </c>
      <c r="L131" s="7">
        <f>MAX(K131,L130)</f>
        <v>234849</v>
      </c>
      <c r="M131" s="200"/>
      <c r="N131" s="110"/>
      <c r="O131" s="110"/>
      <c r="P131" s="110"/>
      <c r="Q131" s="110"/>
      <c r="R131" s="110"/>
      <c r="S131" s="109"/>
      <c r="T131" s="109"/>
      <c r="CI131" s="67"/>
    </row>
    <row r="132" spans="1:87" ht="13">
      <c r="A132" s="3"/>
      <c r="B132" s="9">
        <v>118</v>
      </c>
      <c r="C132" s="3"/>
      <c r="D132" s="3"/>
      <c r="E132" s="36"/>
      <c r="L132" s="89"/>
      <c r="M132" s="200"/>
      <c r="N132" s="110"/>
      <c r="O132" s="110"/>
      <c r="P132" s="110"/>
      <c r="Q132" s="110"/>
      <c r="R132" s="110"/>
      <c r="S132" s="109"/>
      <c r="T132" s="109"/>
      <c r="CI132" s="67"/>
    </row>
    <row r="133" spans="1:87" ht="13.5" thickBot="1">
      <c r="A133" s="3"/>
      <c r="B133" s="9">
        <v>119</v>
      </c>
      <c r="C133" s="3"/>
      <c r="D133" s="3"/>
      <c r="E133" s="34" t="s">
        <v>112</v>
      </c>
      <c r="F133" s="35"/>
      <c r="G133" s="25"/>
      <c r="H133" s="25"/>
      <c r="I133" s="25"/>
      <c r="J133" s="25"/>
      <c r="K133" s="25"/>
      <c r="L133" s="25"/>
      <c r="M133" s="200"/>
      <c r="N133" s="110"/>
      <c r="O133" s="110"/>
      <c r="P133" s="110"/>
      <c r="Q133" s="110"/>
      <c r="R133" s="110"/>
      <c r="S133" s="109"/>
      <c r="T133" s="109"/>
      <c r="CI133" s="67"/>
    </row>
    <row r="134" spans="1:87" ht="13.5" thickBot="1">
      <c r="A134" s="3"/>
      <c r="B134" s="9">
        <v>120</v>
      </c>
      <c r="C134" s="3"/>
      <c r="D134" s="3"/>
      <c r="E134" s="36" t="s">
        <v>113</v>
      </c>
      <c r="F134" s="102">
        <f>HLOOKUP($E$3,$M$3:$T$261,#REF!,FALSE)</f>
        <v>112.37500000000001</v>
      </c>
      <c r="G134" s="179">
        <f>F134*EXP('Model Inputs'!H21)</f>
        <v>114.64512558550669</v>
      </c>
      <c r="H134" s="180">
        <f>G134*EXP('Model Inputs'!I21)</f>
        <v>116.96111074986963</v>
      </c>
      <c r="I134" s="180">
        <f>H134*EXP('Model Inputs'!J21)</f>
        <v>119.32388191803479</v>
      </c>
      <c r="J134" s="180">
        <f>I134*EXP('Model Inputs'!K21)</f>
        <v>121.73438422997346</v>
      </c>
      <c r="K134" s="180">
        <f>J134*EXP('Model Inputs'!L21)</f>
        <v>124.19358191875089</v>
      </c>
      <c r="L134" s="181">
        <f>K134*EXP('Model Inputs'!M21)</f>
        <v>126.70245869623233</v>
      </c>
      <c r="M134" s="200"/>
      <c r="N134" s="110"/>
      <c r="O134" s="110"/>
      <c r="P134" s="110"/>
      <c r="Q134" s="110"/>
      <c r="R134" s="110"/>
      <c r="S134" s="109"/>
      <c r="T134" s="109"/>
      <c r="CI134" s="67"/>
    </row>
    <row r="135" spans="1:87" ht="13.5" thickBot="1">
      <c r="A135" s="3"/>
      <c r="B135" s="9">
        <v>121</v>
      </c>
      <c r="C135" s="3"/>
      <c r="D135" s="3"/>
      <c r="E135" s="36" t="s">
        <v>200</v>
      </c>
      <c r="F135" s="40">
        <f>HLOOKUP($E$3,$M$3:$T$261,#REF!,FALSE)</f>
        <v>1049.6680319015754</v>
      </c>
      <c r="G135" s="182">
        <f>F135*EXP('Model Inputs'!H20)</f>
        <v>1092.5382426269534</v>
      </c>
      <c r="H135" s="183">
        <f>G135*EXP('Model Inputs'!I20)</f>
        <v>1097.545564386515</v>
      </c>
      <c r="I135" s="183">
        <f>H135*EXP('Model Inputs'!J20)</f>
        <v>1119.8423905574132</v>
      </c>
      <c r="J135" s="183">
        <f>I135*EXP('Model Inputs'!K20)</f>
        <v>1143.5693621752323</v>
      </c>
      <c r="K135" s="183">
        <f>J135*EXP('Model Inputs'!L20)</f>
        <v>1167.7998604758161</v>
      </c>
      <c r="L135" s="184">
        <f>K135*EXP('Model Inputs'!M20)</f>
        <v>1192.544571326343</v>
      </c>
      <c r="M135" s="200"/>
      <c r="N135" s="110"/>
      <c r="O135" s="110"/>
      <c r="P135" s="110"/>
      <c r="Q135" s="110"/>
      <c r="R135" s="110"/>
      <c r="S135" s="109"/>
      <c r="T135" s="109"/>
      <c r="CI135" s="67"/>
    </row>
    <row r="136" spans="1:87" ht="13">
      <c r="A136" s="3"/>
      <c r="B136" s="9">
        <v>122</v>
      </c>
      <c r="C136" s="3"/>
      <c r="D136" s="3"/>
      <c r="E136" s="36" t="s">
        <v>114</v>
      </c>
      <c r="F136" s="39">
        <f>HLOOKUP($E$3,$M$3:$T$261,#REF!,FALSE)</f>
        <v>0.024881492977204912</v>
      </c>
      <c r="G136" s="39">
        <f>LN(G134/F134)*0.3+LN(G135/F135)*0.7</f>
        <v>0.034020788586886487</v>
      </c>
      <c r="H136" s="39">
        <f>LN(H134/G134)*0.3+LN(H135/G135)*0.7</f>
        <v>0.0092009106940153188</v>
      </c>
      <c r="I136" s="39">
        <f>LN(I134/H134)*0.3+LN(I135/H135)*0.7</f>
        <v>0.020078099740135601</v>
      </c>
      <c r="J136" s="39">
        <f>LN(J134/I134)*0.3+LN(J135/I135)*0.7</f>
        <v>0.020676506415464348</v>
      </c>
      <c r="K136" s="39">
        <f>LN(K134/J134)*0.3+LN(K135/J135)*0.7</f>
        <v>0.020676988876748077</v>
      </c>
      <c r="L136" s="39">
        <f>LN(L134/K134)*0.3+LN(L135/K135)*0.7</f>
        <v>0.020677461445481694</v>
      </c>
      <c r="M136" s="200"/>
      <c r="N136" s="110"/>
      <c r="O136" s="110"/>
      <c r="P136" s="110"/>
      <c r="Q136" s="110"/>
      <c r="R136" s="110"/>
      <c r="S136" s="109"/>
      <c r="T136" s="109"/>
      <c r="CI136" s="67"/>
    </row>
    <row r="137" spans="1:87" ht="13">
      <c r="A137" s="3"/>
      <c r="B137" s="9">
        <v>123</v>
      </c>
      <c r="C137" s="3"/>
      <c r="D137" s="3"/>
      <c r="E137" s="36" t="s">
        <v>115</v>
      </c>
      <c r="F137" s="28">
        <f>HLOOKUP($E$3,$M$3:$T$261,#REF!,FALSE)</f>
        <v>152.32375585085606</v>
      </c>
      <c r="G137" s="28">
        <f>F137*EXP(G136)</f>
        <v>157.59508918745888</v>
      </c>
      <c r="H137" s="28">
        <f>G137*EXP(H136)</f>
        <v>159.05179877964241</v>
      </c>
      <c r="I137" s="28">
        <f>H137*EXP(I136)</f>
        <v>162.27753158680523</v>
      </c>
      <c r="J137" s="28">
        <f>I137*EXP(J136)</f>
        <v>165.66779260433481</v>
      </c>
      <c r="K137" s="28">
        <f>J137*EXP(K136)</f>
        <v>169.12896369303692</v>
      </c>
      <c r="L137" s="28">
        <f>K137*EXP(L136)</f>
        <v>172.66252798963134</v>
      </c>
      <c r="M137" s="200"/>
      <c r="N137" s="110"/>
      <c r="O137" s="110"/>
      <c r="P137" s="110"/>
      <c r="Q137" s="110"/>
      <c r="R137" s="110"/>
      <c r="S137" s="109"/>
      <c r="T137" s="109"/>
      <c r="CI137" s="67"/>
    </row>
    <row r="138" spans="1:87" ht="13">
      <c r="A138" s="3"/>
      <c r="B138" s="9">
        <v>124</v>
      </c>
      <c r="F138" s="28"/>
      <c r="G138" s="20"/>
      <c r="H138" s="20"/>
      <c r="I138" s="20"/>
      <c r="J138" s="20"/>
      <c r="K138" s="20"/>
      <c r="L138" s="20"/>
      <c r="M138" s="200"/>
      <c r="N138" s="110"/>
      <c r="O138" s="110"/>
      <c r="P138" s="110"/>
      <c r="Q138" s="110"/>
      <c r="R138" s="110"/>
      <c r="S138" s="109"/>
      <c r="T138" s="109"/>
      <c r="CI138" s="67"/>
    </row>
    <row r="139" spans="1:87" ht="13">
      <c r="A139" s="3"/>
      <c r="B139" s="9">
        <v>125</v>
      </c>
      <c r="C139" s="3"/>
      <c r="D139" s="3"/>
      <c r="E139" s="36" t="s">
        <v>116</v>
      </c>
      <c r="F139" s="28">
        <f>HLOOKUP($E$3,$M$3:$T$261,#REF!,FALSE)</f>
        <v>18.193319016886882</v>
      </c>
      <c r="G139" s="28">
        <f>G113</f>
        <v>17.346343617553522</v>
      </c>
      <c r="H139" s="28">
        <f>H113</f>
        <v>17.130620812756227</v>
      </c>
      <c r="I139" s="28">
        <f>I113</f>
        <v>17.476682308664138</v>
      </c>
      <c r="J139" s="28">
        <f>J113</f>
        <v>17.829734710521048</v>
      </c>
      <c r="K139" s="28">
        <f>K113</f>
        <v>18.189919243995135</v>
      </c>
      <c r="L139" s="28">
        <f>L113</f>
        <v>18.557379987702308</v>
      </c>
      <c r="M139" s="200"/>
      <c r="N139" s="110"/>
      <c r="O139" s="110"/>
      <c r="P139" s="110"/>
      <c r="Q139" s="110"/>
      <c r="R139" s="110"/>
      <c r="S139" s="109"/>
      <c r="T139" s="109"/>
      <c r="CI139" s="67"/>
    </row>
    <row r="140" spans="1:87" ht="13">
      <c r="A140" s="3"/>
      <c r="B140" s="9">
        <v>126</v>
      </c>
      <c r="C140" s="3"/>
      <c r="D140" s="3"/>
      <c r="M140" s="200"/>
      <c r="N140" s="110"/>
      <c r="O140" s="110"/>
      <c r="P140" s="110"/>
      <c r="Q140" s="110"/>
      <c r="R140" s="110"/>
      <c r="S140" s="109"/>
      <c r="T140" s="109"/>
      <c r="CI140" s="67"/>
    </row>
    <row r="141" spans="1:87" ht="13">
      <c r="A141" s="3"/>
      <c r="B141" s="9">
        <v>127</v>
      </c>
      <c r="C141" s="3"/>
      <c r="D141" s="3"/>
      <c r="E141" s="34" t="s">
        <v>117</v>
      </c>
      <c r="F141" s="35"/>
      <c r="G141" s="4"/>
      <c r="H141" s="4"/>
      <c r="I141" s="4"/>
      <c r="J141" s="4"/>
      <c r="K141" s="4"/>
      <c r="M141" s="200"/>
      <c r="N141" s="110"/>
      <c r="O141" s="110"/>
      <c r="P141" s="110"/>
      <c r="Q141" s="110"/>
      <c r="R141" s="110"/>
      <c r="S141" s="109"/>
      <c r="T141" s="109"/>
      <c r="CI141" s="67"/>
    </row>
    <row r="142" spans="1:87" ht="13">
      <c r="A142" s="3"/>
      <c r="B142" s="9">
        <v>128</v>
      </c>
      <c r="C142" s="3"/>
      <c r="D142" s="3"/>
      <c r="E142" s="36" t="s">
        <v>118</v>
      </c>
      <c r="F142" s="28">
        <f>HLOOKUP($E$3,$M$3:$T$261,#REF!,FALSE)</f>
        <v>1010</v>
      </c>
      <c r="G142" s="41">
        <f>'Model Inputs'!H16</f>
        <v>1010</v>
      </c>
      <c r="H142" s="41">
        <f>'Model Inputs'!I16</f>
        <v>1010</v>
      </c>
      <c r="I142" s="41">
        <f>'Model Inputs'!J16</f>
        <v>1010</v>
      </c>
      <c r="J142" s="41">
        <f>'Model Inputs'!K16</f>
        <v>1010</v>
      </c>
      <c r="K142" s="41">
        <f>'Model Inputs'!L16</f>
        <v>1010</v>
      </c>
      <c r="L142" s="41">
        <f>'Model Inputs'!M16</f>
        <v>1010</v>
      </c>
      <c r="M142" s="200"/>
      <c r="N142" s="110"/>
      <c r="O142" s="110"/>
      <c r="P142" s="110"/>
      <c r="Q142" s="110"/>
      <c r="R142" s="110"/>
      <c r="S142" s="109"/>
      <c r="T142" s="109"/>
      <c r="CI142" s="67"/>
    </row>
    <row r="143" spans="1:87" ht="13">
      <c r="A143" s="3"/>
      <c r="B143" s="9">
        <v>129</v>
      </c>
      <c r="C143" s="3"/>
      <c r="D143" s="3"/>
      <c r="E143" s="36" t="s">
        <v>119</v>
      </c>
      <c r="F143" s="40">
        <f>HLOOKUP($E$3,$M$3:$T$261,#REF!,FALSE)</f>
        <v>1124.8333333333333</v>
      </c>
      <c r="G143" s="40">
        <f>(F143*14+G142)/15</f>
        <v>1117.1777777777777</v>
      </c>
      <c r="H143" s="40">
        <f>(G143*15+H142)/16</f>
        <v>1110.4791666666665</v>
      </c>
      <c r="I143" s="40">
        <f>(H143*16+I142)/17</f>
        <v>1104.5686274509803</v>
      </c>
      <c r="J143" s="40">
        <f>(I143*17+J142)/18</f>
        <v>1099.3148148148148</v>
      </c>
      <c r="K143" s="40">
        <f>(J143*17+K142)/18</f>
        <v>1094.3528806584361</v>
      </c>
      <c r="L143" s="40">
        <f>(K143*17+L142)/18</f>
        <v>1089.6666095107453</v>
      </c>
      <c r="M143" s="200"/>
      <c r="N143" s="110"/>
      <c r="O143" s="110"/>
      <c r="P143" s="110"/>
      <c r="Q143" s="110"/>
      <c r="R143" s="110"/>
      <c r="S143" s="109"/>
      <c r="T143" s="109"/>
      <c r="CI143" s="67"/>
    </row>
    <row r="144" spans="1:87" ht="13">
      <c r="A144" s="3"/>
      <c r="B144" s="9">
        <v>130</v>
      </c>
      <c r="C144" s="3"/>
      <c r="D144" s="3"/>
      <c r="E144" s="36" t="s">
        <v>120</v>
      </c>
      <c r="F144" s="7">
        <f>HLOOKUP($E$3,$M$3:$T$261,#REF!,FALSE)</f>
        <v>52184</v>
      </c>
      <c r="G144" s="7"/>
      <c r="H144" s="7"/>
      <c r="I144" s="7"/>
      <c r="J144" s="7"/>
      <c r="K144" s="7"/>
      <c r="L144" s="7"/>
      <c r="M144" s="200"/>
      <c r="N144" s="110"/>
      <c r="O144" s="110"/>
      <c r="P144" s="110"/>
      <c r="Q144" s="110"/>
      <c r="R144" s="110"/>
      <c r="S144" s="109"/>
      <c r="T144" s="109"/>
      <c r="CI144" s="67"/>
    </row>
    <row r="145" spans="1:87" ht="13">
      <c r="A145" s="3"/>
      <c r="B145" s="9">
        <v>131</v>
      </c>
      <c r="C145" s="3"/>
      <c r="D145" s="3"/>
      <c r="E145" s="36" t="s">
        <v>121</v>
      </c>
      <c r="F145" s="29">
        <f>HLOOKUP($E$3,$M$3:$T$261,#REF!,FALSE)</f>
        <v>0.13412156982983289</v>
      </c>
      <c r="G145" s="29">
        <f>'Model Inputs'!H17</f>
        <v>0.11002968804734215</v>
      </c>
      <c r="H145" s="29">
        <f>'Model Inputs'!I17</f>
        <v>0.11134875533913421</v>
      </c>
      <c r="I145" s="29">
        <f>'Model Inputs'!J17</f>
        <v>0.11134875533913421</v>
      </c>
      <c r="J145" s="29">
        <f>'Model Inputs'!K17</f>
        <v>0.11134875533913421</v>
      </c>
      <c r="K145" s="29">
        <f>'Model Inputs'!L17</f>
        <v>0.11134875533913421</v>
      </c>
      <c r="L145" s="29">
        <f>'Model Inputs'!M17</f>
        <v>0.11134875533913421</v>
      </c>
      <c r="M145" s="200"/>
      <c r="N145" s="110"/>
      <c r="O145" s="110"/>
      <c r="P145" s="110"/>
      <c r="Q145" s="110"/>
      <c r="R145" s="110"/>
      <c r="S145" s="109"/>
      <c r="T145" s="109"/>
      <c r="CI145" s="67"/>
    </row>
    <row r="146" spans="1:87" ht="13">
      <c r="A146" s="3"/>
      <c r="B146" s="9">
        <v>132</v>
      </c>
      <c r="C146" s="3"/>
      <c r="D146" s="3"/>
      <c r="L146" s="89"/>
      <c r="M146" s="200"/>
      <c r="N146" s="110"/>
      <c r="O146" s="110"/>
      <c r="P146" s="110"/>
      <c r="Q146" s="110"/>
      <c r="R146" s="110"/>
      <c r="S146" s="109"/>
      <c r="T146" s="109"/>
      <c r="CI146" s="67"/>
    </row>
    <row r="147" spans="1:87" ht="13">
      <c r="A147" s="3"/>
      <c r="B147" s="9">
        <v>133</v>
      </c>
      <c r="C147" s="42" t="s">
        <v>122</v>
      </c>
      <c r="D147" s="3"/>
      <c r="E147" s="36"/>
      <c r="L147" s="89"/>
      <c r="M147" s="200"/>
      <c r="N147" s="110"/>
      <c r="O147" s="110"/>
      <c r="P147" s="110"/>
      <c r="Q147" s="110"/>
      <c r="R147" s="110"/>
      <c r="S147" s="109"/>
      <c r="T147" s="109"/>
      <c r="CI147" s="67"/>
    </row>
    <row r="148" spans="1:87" ht="13">
      <c r="A148" s="3"/>
      <c r="B148" s="9">
        <v>134</v>
      </c>
      <c r="C148" s="3"/>
      <c r="D148" s="3"/>
      <c r="E148" s="36"/>
      <c r="L148" s="89"/>
      <c r="M148" s="200"/>
      <c r="N148" s="110"/>
      <c r="O148" s="110"/>
      <c r="P148" s="110"/>
      <c r="Q148" s="110"/>
      <c r="R148" s="110"/>
      <c r="S148" s="109"/>
      <c r="T148" s="109"/>
      <c r="CI148" s="67"/>
    </row>
    <row r="149" spans="1:87" ht="13" outlineLevel="1">
      <c r="A149" s="3"/>
      <c r="B149" s="9">
        <v>135</v>
      </c>
      <c r="C149" s="27" t="s">
        <v>123</v>
      </c>
      <c r="D149" s="27"/>
      <c r="E149" s="36"/>
      <c r="L149" s="89"/>
      <c r="M149" s="200"/>
      <c r="N149" s="110"/>
      <c r="O149" s="110"/>
      <c r="P149" s="110"/>
      <c r="Q149" s="110"/>
      <c r="R149" s="110"/>
      <c r="S149" s="109"/>
      <c r="T149" s="109"/>
      <c r="CI149" s="67"/>
    </row>
    <row r="150" spans="1:87" ht="13" outlineLevel="1">
      <c r="A150" s="3"/>
      <c r="B150" s="9">
        <v>136</v>
      </c>
      <c r="C150" s="27"/>
      <c r="D150" s="27"/>
      <c r="E150" s="36"/>
      <c r="L150" s="89"/>
      <c r="M150" s="200"/>
      <c r="N150" s="110"/>
      <c r="O150" s="110"/>
      <c r="P150" s="110"/>
      <c r="Q150" s="110"/>
      <c r="R150" s="110"/>
      <c r="S150" s="109"/>
      <c r="T150" s="109"/>
      <c r="CI150" s="67"/>
    </row>
    <row r="151" spans="1:87" ht="13" outlineLevel="1">
      <c r="A151" s="3"/>
      <c r="B151" s="9">
        <v>137</v>
      </c>
      <c r="C151" s="3"/>
      <c r="D151" s="3"/>
      <c r="E151" s="36" t="s">
        <v>125</v>
      </c>
      <c r="F151" s="31">
        <f>HLOOKUP($E$3,$M$3:$T$261,#REF!,FALSE)</f>
        <v>1</v>
      </c>
      <c r="G151" s="31">
        <f>F151</f>
        <v>1</v>
      </c>
      <c r="H151" s="31">
        <f>G151</f>
        <v>1</v>
      </c>
      <c r="I151" s="31">
        <f>H151</f>
        <v>1</v>
      </c>
      <c r="J151" s="31">
        <f>I151</f>
        <v>1</v>
      </c>
      <c r="K151" s="31">
        <f>J151</f>
        <v>1</v>
      </c>
      <c r="L151" s="31">
        <f>K151</f>
        <v>1</v>
      </c>
      <c r="M151" s="200"/>
      <c r="N151" s="110"/>
      <c r="O151" s="110"/>
      <c r="P151" s="110"/>
      <c r="Q151" s="110"/>
      <c r="R151" s="110"/>
      <c r="S151" s="109"/>
      <c r="T151" s="109"/>
      <c r="CI151" s="67"/>
    </row>
    <row r="152" spans="1:87" ht="13" outlineLevel="1">
      <c r="A152" s="3"/>
      <c r="B152" s="9">
        <v>138</v>
      </c>
      <c r="C152" s="3"/>
      <c r="D152" s="3"/>
      <c r="E152" s="36" t="s">
        <v>126</v>
      </c>
      <c r="F152" s="43">
        <f>HLOOKUP($E$3,$M$3:$T$261,#REF!,FALSE)</f>
        <v>0.11943848755082175</v>
      </c>
      <c r="G152" s="43">
        <f>G113/G137</f>
        <v>0.1100690618406269</v>
      </c>
      <c r="H152" s="43">
        <f>H113/H137</f>
        <v>0.10770466567617866</v>
      </c>
      <c r="I152" s="43">
        <f>I113/I137</f>
        <v>0.10769625429824548</v>
      </c>
      <c r="J152" s="43">
        <f>J113/J137</f>
        <v>0.1076234217299188</v>
      </c>
      <c r="K152" s="43">
        <f>K113/K137</f>
        <v>0.10755058652762276</v>
      </c>
      <c r="L152" s="43">
        <f>L113/L137</f>
        <v>0.10747774982662543</v>
      </c>
      <c r="M152" s="200"/>
      <c r="N152" s="110"/>
      <c r="O152" s="110"/>
      <c r="P152" s="110"/>
      <c r="Q152" s="110"/>
      <c r="R152" s="110"/>
      <c r="S152" s="109"/>
      <c r="T152" s="109"/>
      <c r="CI152" s="67"/>
    </row>
    <row r="153" spans="1:87" ht="13" outlineLevel="1">
      <c r="A153" s="3"/>
      <c r="B153" s="9">
        <v>139</v>
      </c>
      <c r="C153" s="3"/>
      <c r="D153" s="3"/>
      <c r="E153" s="36" t="s">
        <v>127</v>
      </c>
      <c r="F153" s="24">
        <f>HLOOKUP($E$3,$M$3:$T$261,#REF!,FALSE)</f>
        <v>59183</v>
      </c>
      <c r="G153" s="24">
        <f>G96</f>
        <v>60196.368183042832</v>
      </c>
      <c r="H153" s="24">
        <f>H96</f>
        <v>61007.896710766232</v>
      </c>
      <c r="I153" s="24">
        <f>I96</f>
        <v>61978.75</v>
      </c>
      <c r="J153" s="24">
        <f>J96</f>
        <v>62965.75</v>
      </c>
      <c r="K153" s="24">
        <f>K96</f>
        <v>63967.75</v>
      </c>
      <c r="L153" s="24">
        <f>L96</f>
        <v>64986.75</v>
      </c>
      <c r="M153" s="200"/>
      <c r="N153" s="110"/>
      <c r="O153" s="110"/>
      <c r="P153" s="110"/>
      <c r="Q153" s="110"/>
      <c r="R153" s="110"/>
      <c r="S153" s="109"/>
      <c r="T153" s="109"/>
      <c r="CI153" s="67"/>
    </row>
    <row r="154" spans="1:87" ht="13" outlineLevel="1">
      <c r="A154" s="3"/>
      <c r="B154" s="9">
        <v>140</v>
      </c>
      <c r="C154" s="3"/>
      <c r="D154" s="3"/>
      <c r="E154" s="36" t="s">
        <v>128</v>
      </c>
      <c r="F154" s="24">
        <f>HLOOKUP($E$3,$M$3:$T$261,#REF!,FALSE)</f>
        <v>234849</v>
      </c>
      <c r="G154" s="24">
        <f>G131</f>
        <v>234849</v>
      </c>
      <c r="H154" s="24">
        <f>H131</f>
        <v>234849</v>
      </c>
      <c r="I154" s="24">
        <f>I131</f>
        <v>234849</v>
      </c>
      <c r="J154" s="24">
        <f>J131</f>
        <v>234849</v>
      </c>
      <c r="K154" s="24">
        <f>K131</f>
        <v>234849</v>
      </c>
      <c r="L154" s="24">
        <f>L131</f>
        <v>234849</v>
      </c>
      <c r="M154" s="200"/>
      <c r="N154" s="110"/>
      <c r="O154" s="110"/>
      <c r="P154" s="110"/>
      <c r="Q154" s="110"/>
      <c r="R154" s="110"/>
      <c r="S154" s="109"/>
      <c r="T154" s="109"/>
      <c r="CI154" s="67"/>
    </row>
    <row r="155" spans="1:87" ht="13" outlineLevel="1">
      <c r="A155" s="3"/>
      <c r="B155" s="9">
        <v>141</v>
      </c>
      <c r="C155" s="3"/>
      <c r="D155" s="3"/>
      <c r="E155" s="36" t="s">
        <v>129</v>
      </c>
      <c r="F155" s="38">
        <f>HLOOKUP($E$3,$M$3:$T$261,#REF!,FALSE)</f>
        <v>1044351259</v>
      </c>
      <c r="G155" s="38">
        <f>G97</f>
        <v>1078000816.8114338</v>
      </c>
      <c r="H155" s="38">
        <f>H97</f>
        <v>1075667737.2425113</v>
      </c>
      <c r="I155" s="38">
        <f>I97</f>
        <v>1068775790.2028364</v>
      </c>
      <c r="J155" s="38">
        <f>J97</f>
        <v>1068774836.5596575</v>
      </c>
      <c r="K155" s="38">
        <f>K97</f>
        <v>1072509116.7463137</v>
      </c>
      <c r="L155" s="38">
        <f>L97</f>
        <v>1075338157.6556749</v>
      </c>
      <c r="M155" s="200"/>
      <c r="N155" s="110"/>
      <c r="O155" s="110"/>
      <c r="P155" s="110"/>
      <c r="Q155" s="110"/>
      <c r="R155" s="110"/>
      <c r="S155" s="109"/>
      <c r="T155" s="109"/>
      <c r="CI155" s="67"/>
    </row>
    <row r="156" spans="1:87" ht="13" outlineLevel="1">
      <c r="A156" s="3"/>
      <c r="B156" s="9">
        <v>142</v>
      </c>
      <c r="C156" s="3"/>
      <c r="D156" s="3"/>
      <c r="E156" s="36" t="s">
        <v>140</v>
      </c>
      <c r="F156" s="44">
        <f>HLOOKUP($E$3,$M$3:$T$261,#REF!,FALSE)</f>
        <v>1124.8333333333333</v>
      </c>
      <c r="G156" s="44">
        <f>G143</f>
        <v>1117.1777777777777</v>
      </c>
      <c r="H156" s="44">
        <f>H143</f>
        <v>1110.4791666666665</v>
      </c>
      <c r="I156" s="44">
        <f>I143</f>
        <v>1104.5686274509803</v>
      </c>
      <c r="J156" s="44">
        <f>J143</f>
        <v>1099.3148148148148</v>
      </c>
      <c r="K156" s="44">
        <f>K143</f>
        <v>1094.3528806584361</v>
      </c>
      <c r="L156" s="44">
        <f>L143</f>
        <v>1089.6666095107453</v>
      </c>
      <c r="M156" s="200"/>
      <c r="N156" s="110"/>
      <c r="O156" s="110"/>
      <c r="P156" s="110"/>
      <c r="Q156" s="110"/>
      <c r="R156" s="110"/>
      <c r="S156" s="109"/>
      <c r="T156" s="109"/>
      <c r="CI156" s="67"/>
    </row>
    <row r="157" spans="1:87" ht="13" outlineLevel="1">
      <c r="A157" s="3"/>
      <c r="B157" s="9">
        <v>143</v>
      </c>
      <c r="C157" s="3"/>
      <c r="D157" s="3"/>
      <c r="E157" s="36" t="s">
        <v>141</v>
      </c>
      <c r="F157" s="30">
        <f>HLOOKUP($E$3,$M$3:$T$261,#REF!,FALSE)</f>
        <v>0.13412156982983289</v>
      </c>
      <c r="G157" s="30">
        <f>G145</f>
        <v>0.11002968804734215</v>
      </c>
      <c r="H157" s="30">
        <f>H145</f>
        <v>0.11134875533913421</v>
      </c>
      <c r="I157" s="30">
        <f>I145</f>
        <v>0.11134875533913421</v>
      </c>
      <c r="J157" s="30">
        <f>J145</f>
        <v>0.11134875533913421</v>
      </c>
      <c r="K157" s="30">
        <f>K145</f>
        <v>0.11134875533913421</v>
      </c>
      <c r="L157" s="30">
        <f>L145</f>
        <v>0.11134875533913421</v>
      </c>
      <c r="M157" s="200"/>
      <c r="N157" s="110"/>
      <c r="O157" s="110"/>
      <c r="P157" s="110"/>
      <c r="Q157" s="110"/>
      <c r="R157" s="110"/>
      <c r="S157" s="109"/>
      <c r="T157" s="109"/>
      <c r="CI157" s="67"/>
    </row>
    <row r="158" spans="1:87" ht="13" outlineLevel="1">
      <c r="A158" s="3"/>
      <c r="B158" s="9">
        <v>144</v>
      </c>
      <c r="C158" s="3"/>
      <c r="D158" s="3"/>
      <c r="E158" s="36" t="s">
        <v>142</v>
      </c>
      <c r="F158" s="3">
        <f>HLOOKUP($E$3,$M$3:$T$261,#REF!,FALSE)</f>
        <v>13</v>
      </c>
      <c r="G158" s="3">
        <f>G5-2006</f>
        <v>14</v>
      </c>
      <c r="H158" s="3">
        <f>H5-2006</f>
        <v>15</v>
      </c>
      <c r="I158" s="3">
        <f>I5-2006</f>
        <v>16</v>
      </c>
      <c r="J158" s="3">
        <f>J5-2006</f>
        <v>17</v>
      </c>
      <c r="K158" s="3">
        <f>K5-2006</f>
        <v>18</v>
      </c>
      <c r="L158" s="3">
        <f>L5-2006</f>
        <v>19</v>
      </c>
      <c r="M158" s="200"/>
      <c r="N158" s="110"/>
      <c r="O158" s="110"/>
      <c r="P158" s="110"/>
      <c r="Q158" s="110"/>
      <c r="R158" s="110"/>
      <c r="S158" s="109"/>
      <c r="T158" s="109"/>
      <c r="CI158" s="67"/>
    </row>
    <row r="159" spans="1:87" ht="13" outlineLevel="1">
      <c r="A159" s="3"/>
      <c r="B159" s="9">
        <v>145</v>
      </c>
      <c r="D159" s="3"/>
      <c r="E159" s="36"/>
      <c r="L159" s="89"/>
      <c r="M159" s="200"/>
      <c r="N159" s="110"/>
      <c r="O159" s="110"/>
      <c r="P159" s="110"/>
      <c r="Q159" s="110"/>
      <c r="R159" s="110"/>
      <c r="S159" s="109"/>
      <c r="T159" s="109"/>
      <c r="CI159" s="67"/>
    </row>
    <row r="160" spans="1:87" ht="13" outlineLevel="1">
      <c r="A160" s="3"/>
      <c r="B160" s="9">
        <v>146</v>
      </c>
      <c r="D160" s="27"/>
      <c r="E160" s="36"/>
      <c r="L160" s="89"/>
      <c r="M160" s="200"/>
      <c r="N160" s="110"/>
      <c r="O160" s="110"/>
      <c r="P160" s="110"/>
      <c r="Q160" s="110"/>
      <c r="R160" s="110"/>
      <c r="S160" s="109"/>
      <c r="T160" s="109"/>
      <c r="CI160" s="67"/>
    </row>
    <row r="161" spans="1:87" ht="13" outlineLevel="1">
      <c r="A161" s="3"/>
      <c r="B161" s="9">
        <v>147</v>
      </c>
      <c r="C161" s="27" t="s">
        <v>124</v>
      </c>
      <c r="D161" s="27"/>
      <c r="E161" s="36"/>
      <c r="L161" s="89"/>
      <c r="M161" s="200"/>
      <c r="N161" s="110"/>
      <c r="O161" s="110"/>
      <c r="P161" s="110"/>
      <c r="Q161" s="110"/>
      <c r="R161" s="110"/>
      <c r="S161" s="109"/>
      <c r="T161" s="109"/>
      <c r="CI161" s="67"/>
    </row>
    <row r="162" spans="1:87" ht="13" outlineLevel="1">
      <c r="A162" s="3"/>
      <c r="B162" s="9">
        <v>148</v>
      </c>
      <c r="C162" s="3"/>
      <c r="D162" s="3">
        <v>91</v>
      </c>
      <c r="E162" s="36" t="s">
        <v>125</v>
      </c>
      <c r="F162" s="103">
        <f>HLOOKUP($E$3,$M$3:$T$261,#REF!,FALSE)</f>
        <v>12.819457458886518</v>
      </c>
      <c r="G162" s="48">
        <f>F162</f>
        <v>12.819457458886518</v>
      </c>
      <c r="H162" s="48">
        <f>G162</f>
        <v>12.819457458886518</v>
      </c>
      <c r="I162" s="48">
        <f>H162</f>
        <v>12.819457458886518</v>
      </c>
      <c r="J162" s="48">
        <f>I162</f>
        <v>12.819457458886518</v>
      </c>
      <c r="K162" s="48">
        <f>J162</f>
        <v>12.819457458886518</v>
      </c>
      <c r="L162" s="48">
        <f>K162</f>
        <v>12.819457458886518</v>
      </c>
      <c r="M162" s="200"/>
      <c r="N162" s="110"/>
      <c r="O162" s="110"/>
      <c r="P162" s="110"/>
      <c r="Q162" s="110"/>
      <c r="R162" s="110"/>
      <c r="S162" s="109"/>
      <c r="T162" s="109"/>
      <c r="CI162" s="67"/>
    </row>
    <row r="163" spans="1:87" ht="13" outlineLevel="1">
      <c r="A163" s="3"/>
      <c r="B163" s="9">
        <v>149</v>
      </c>
      <c r="C163" s="3"/>
      <c r="D163" s="3">
        <v>92</v>
      </c>
      <c r="E163" s="36" t="s">
        <v>126</v>
      </c>
      <c r="F163" s="103">
        <f>HLOOKUP($E$3,$M$3:$T$261,#REF!,FALSE)</f>
        <v>0.62689304939036861</v>
      </c>
      <c r="G163" s="48">
        <f>F163</f>
        <v>0.62689304939036861</v>
      </c>
      <c r="H163" s="48">
        <f>G163</f>
        <v>0.62689304939036861</v>
      </c>
      <c r="I163" s="48">
        <f>H163</f>
        <v>0.62689304939036861</v>
      </c>
      <c r="J163" s="48">
        <f>I163</f>
        <v>0.62689304939036861</v>
      </c>
      <c r="K163" s="48">
        <f>J163</f>
        <v>0.62689304939036861</v>
      </c>
      <c r="L163" s="48">
        <f>K163</f>
        <v>0.62689304939036861</v>
      </c>
      <c r="M163" s="200"/>
      <c r="N163" s="110"/>
      <c r="O163" s="110"/>
      <c r="P163" s="110"/>
      <c r="Q163" s="110"/>
      <c r="R163" s="110"/>
      <c r="S163" s="109"/>
      <c r="T163" s="109"/>
      <c r="CI163" s="67"/>
    </row>
    <row r="164" spans="1:87" ht="13" outlineLevel="1">
      <c r="A164" s="3"/>
      <c r="B164" s="9">
        <v>150</v>
      </c>
      <c r="C164" s="3"/>
      <c r="D164" s="3">
        <v>93</v>
      </c>
      <c r="E164" s="36" t="s">
        <v>127</v>
      </c>
      <c r="F164" s="103">
        <f>HLOOKUP($E$3,$M$3:$T$261,#REF!,FALSE)</f>
        <v>0.45682379493569403</v>
      </c>
      <c r="G164" s="48">
        <f>F164</f>
        <v>0.45682379493569403</v>
      </c>
      <c r="H164" s="48">
        <f>G164</f>
        <v>0.45682379493569403</v>
      </c>
      <c r="I164" s="48">
        <f>H164</f>
        <v>0.45682379493569403</v>
      </c>
      <c r="J164" s="48">
        <f>I164</f>
        <v>0.45682379493569403</v>
      </c>
      <c r="K164" s="48">
        <f>J164</f>
        <v>0.45682379493569403</v>
      </c>
      <c r="L164" s="48">
        <f>K164</f>
        <v>0.45682379493569403</v>
      </c>
      <c r="M164" s="200"/>
      <c r="N164" s="110"/>
      <c r="O164" s="110"/>
      <c r="P164" s="110"/>
      <c r="Q164" s="110"/>
      <c r="R164" s="110"/>
      <c r="S164" s="109"/>
      <c r="T164" s="109"/>
      <c r="CI164" s="67"/>
    </row>
    <row r="165" spans="1:87" ht="13" outlineLevel="1">
      <c r="A165" s="3"/>
      <c r="B165" s="9">
        <v>151</v>
      </c>
      <c r="C165" s="3"/>
      <c r="D165" s="3">
        <v>94</v>
      </c>
      <c r="E165" s="36" t="s">
        <v>128</v>
      </c>
      <c r="F165" s="103">
        <f>HLOOKUP($E$3,$M$3:$T$261,#REF!,FALSE)</f>
        <v>0.15097438860357479</v>
      </c>
      <c r="G165" s="48">
        <f>F165</f>
        <v>0.15097438860357479</v>
      </c>
      <c r="H165" s="48">
        <f>G165</f>
        <v>0.15097438860357479</v>
      </c>
      <c r="I165" s="48">
        <f>H165</f>
        <v>0.15097438860357479</v>
      </c>
      <c r="J165" s="48">
        <f>I165</f>
        <v>0.15097438860357479</v>
      </c>
      <c r="K165" s="48">
        <f>J165</f>
        <v>0.15097438860357479</v>
      </c>
      <c r="L165" s="48">
        <f>K165</f>
        <v>0.15097438860357479</v>
      </c>
      <c r="M165" s="200"/>
      <c r="N165" s="110"/>
      <c r="O165" s="110"/>
      <c r="P165" s="110"/>
      <c r="Q165" s="110"/>
      <c r="R165" s="110"/>
      <c r="S165" s="109"/>
      <c r="T165" s="109"/>
      <c r="CI165" s="67"/>
    </row>
    <row r="166" spans="1:87" ht="13" outlineLevel="1">
      <c r="A166" s="3"/>
      <c r="B166" s="9">
        <v>152</v>
      </c>
      <c r="C166" s="3"/>
      <c r="D166" s="3">
        <v>95</v>
      </c>
      <c r="E166" s="36" t="s">
        <v>129</v>
      </c>
      <c r="F166" s="103">
        <f>HLOOKUP($E$3,$M$3:$T$261,#REF!,FALSE)</f>
        <v>0.10513039650977005</v>
      </c>
      <c r="G166" s="48">
        <f>F166</f>
        <v>0.10513039650977005</v>
      </c>
      <c r="H166" s="48">
        <f>G166</f>
        <v>0.10513039650977005</v>
      </c>
      <c r="I166" s="48">
        <f>H166</f>
        <v>0.10513039650977005</v>
      </c>
      <c r="J166" s="48">
        <f>I166</f>
        <v>0.10513039650977005</v>
      </c>
      <c r="K166" s="48">
        <f>J166</f>
        <v>0.10513039650977005</v>
      </c>
      <c r="L166" s="48">
        <f>K166</f>
        <v>0.10513039650977005</v>
      </c>
      <c r="M166" s="200"/>
      <c r="N166" s="110"/>
      <c r="O166" s="110"/>
      <c r="P166" s="110"/>
      <c r="Q166" s="110"/>
      <c r="R166" s="110"/>
      <c r="S166" s="109"/>
      <c r="T166" s="109"/>
      <c r="CI166" s="67"/>
    </row>
    <row r="167" spans="1:87" ht="13" outlineLevel="1">
      <c r="A167" s="3"/>
      <c r="B167" s="9">
        <v>153</v>
      </c>
      <c r="C167" s="3"/>
      <c r="D167" s="3">
        <v>96</v>
      </c>
      <c r="E167" s="36" t="s">
        <v>130</v>
      </c>
      <c r="F167" s="103">
        <f>HLOOKUP($E$3,$M$3:$T$261,#REF!,FALSE)</f>
        <v>0.12510208424137748</v>
      </c>
      <c r="G167" s="48">
        <f>F167</f>
        <v>0.12510208424137748</v>
      </c>
      <c r="H167" s="48">
        <f>G167</f>
        <v>0.12510208424137748</v>
      </c>
      <c r="I167" s="48">
        <f>H167</f>
        <v>0.12510208424137748</v>
      </c>
      <c r="J167" s="48">
        <f>I167</f>
        <v>0.12510208424137748</v>
      </c>
      <c r="K167" s="48">
        <f>J167</f>
        <v>0.12510208424137748</v>
      </c>
      <c r="L167" s="48">
        <f>K167</f>
        <v>0.12510208424137748</v>
      </c>
      <c r="M167" s="200"/>
      <c r="N167" s="110"/>
      <c r="O167" s="110"/>
      <c r="P167" s="110"/>
      <c r="Q167" s="110"/>
      <c r="R167" s="110"/>
      <c r="S167" s="109"/>
      <c r="T167" s="109"/>
      <c r="CI167" s="67"/>
    </row>
    <row r="168" spans="1:87" ht="13" outlineLevel="1">
      <c r="A168" s="3"/>
      <c r="B168" s="9">
        <v>154</v>
      </c>
      <c r="C168" s="3"/>
      <c r="D168" s="3">
        <v>97</v>
      </c>
      <c r="E168" s="36" t="s">
        <v>131</v>
      </c>
      <c r="F168" s="103">
        <f>HLOOKUP($E$3,$M$3:$T$261,#REF!,FALSE)</f>
        <v>-0.405987541344832</v>
      </c>
      <c r="G168" s="48">
        <f>F168</f>
        <v>-0.405987541344832</v>
      </c>
      <c r="H168" s="48">
        <f>G168</f>
        <v>-0.405987541344832</v>
      </c>
      <c r="I168" s="48">
        <f>H168</f>
        <v>-0.405987541344832</v>
      </c>
      <c r="J168" s="48">
        <f>I168</f>
        <v>-0.405987541344832</v>
      </c>
      <c r="K168" s="48">
        <f>J168</f>
        <v>-0.405987541344832</v>
      </c>
      <c r="L168" s="48">
        <f>K168</f>
        <v>-0.405987541344832</v>
      </c>
      <c r="M168" s="200"/>
      <c r="N168" s="110"/>
      <c r="O168" s="110"/>
      <c r="P168" s="110"/>
      <c r="Q168" s="110"/>
      <c r="R168" s="110"/>
      <c r="S168" s="109"/>
      <c r="T168" s="109"/>
      <c r="CI168" s="67"/>
    </row>
    <row r="169" spans="1:87" ht="13" outlineLevel="1">
      <c r="A169" s="3"/>
      <c r="B169" s="9">
        <v>155</v>
      </c>
      <c r="C169" s="3"/>
      <c r="D169" s="3">
        <v>98</v>
      </c>
      <c r="E169" s="36" t="s">
        <v>132</v>
      </c>
      <c r="F169" s="103">
        <f>HLOOKUP($E$3,$M$3:$T$261,#REF!,FALSE)</f>
        <v>0.1859902829732617</v>
      </c>
      <c r="G169" s="48">
        <f>F169</f>
        <v>0.1859902829732617</v>
      </c>
      <c r="H169" s="48">
        <f>G169</f>
        <v>0.1859902829732617</v>
      </c>
      <c r="I169" s="48">
        <f>H169</f>
        <v>0.1859902829732617</v>
      </c>
      <c r="J169" s="48">
        <f>I169</f>
        <v>0.1859902829732617</v>
      </c>
      <c r="K169" s="48">
        <f>J169</f>
        <v>0.1859902829732617</v>
      </c>
      <c r="L169" s="48">
        <f>K169</f>
        <v>0.1859902829732617</v>
      </c>
      <c r="M169" s="200"/>
      <c r="N169" s="110"/>
      <c r="O169" s="110"/>
      <c r="P169" s="110"/>
      <c r="Q169" s="110"/>
      <c r="R169" s="110"/>
      <c r="S169" s="109"/>
      <c r="T169" s="109"/>
      <c r="CI169" s="67"/>
    </row>
    <row r="170" spans="1:87" ht="13" outlineLevel="1">
      <c r="A170" s="3"/>
      <c r="B170" s="9">
        <v>156</v>
      </c>
      <c r="C170" s="3"/>
      <c r="D170" s="3">
        <v>99</v>
      </c>
      <c r="E170" s="36" t="s">
        <v>133</v>
      </c>
      <c r="F170" s="103">
        <f>HLOOKUP($E$3,$M$3:$T$261,#REF!,FALSE)</f>
        <v>0.15716899407163007</v>
      </c>
      <c r="G170" s="48">
        <f>F170</f>
        <v>0.15716899407163007</v>
      </c>
      <c r="H170" s="48">
        <f>G170</f>
        <v>0.15716899407163007</v>
      </c>
      <c r="I170" s="48">
        <f>H170</f>
        <v>0.15716899407163007</v>
      </c>
      <c r="J170" s="48">
        <f>I170</f>
        <v>0.15716899407163007</v>
      </c>
      <c r="K170" s="48">
        <f>J170</f>
        <v>0.15716899407163007</v>
      </c>
      <c r="L170" s="48">
        <f>K170</f>
        <v>0.15716899407163007</v>
      </c>
      <c r="M170" s="200"/>
      <c r="N170" s="110"/>
      <c r="O170" s="110"/>
      <c r="P170" s="110"/>
      <c r="Q170" s="110"/>
      <c r="R170" s="110"/>
      <c r="S170" s="109"/>
      <c r="T170" s="109"/>
      <c r="CI170" s="67"/>
    </row>
    <row r="171" spans="1:87" ht="13" outlineLevel="1">
      <c r="A171" s="3"/>
      <c r="B171" s="9">
        <v>157</v>
      </c>
      <c r="C171" s="3"/>
      <c r="D171" s="3">
        <v>100</v>
      </c>
      <c r="E171" s="36" t="s">
        <v>134</v>
      </c>
      <c r="F171" s="103">
        <f>HLOOKUP($E$3,$M$3:$T$261,#REF!,FALSE)</f>
        <v>0.053225749366978548</v>
      </c>
      <c r="G171" s="48">
        <f>F171</f>
        <v>0.053225749366978548</v>
      </c>
      <c r="H171" s="48">
        <f>G171</f>
        <v>0.053225749366978548</v>
      </c>
      <c r="I171" s="48">
        <f>H171</f>
        <v>0.053225749366978548</v>
      </c>
      <c r="J171" s="48">
        <f>I171</f>
        <v>0.053225749366978548</v>
      </c>
      <c r="K171" s="48">
        <f>J171</f>
        <v>0.053225749366978548</v>
      </c>
      <c r="L171" s="48">
        <f>K171</f>
        <v>0.053225749366978548</v>
      </c>
      <c r="M171" s="200"/>
      <c r="N171" s="110"/>
      <c r="O171" s="110"/>
      <c r="P171" s="110"/>
      <c r="Q171" s="110"/>
      <c r="R171" s="110"/>
      <c r="S171" s="109"/>
      <c r="T171" s="109"/>
      <c r="CI171" s="67"/>
    </row>
    <row r="172" spans="1:87" ht="13" outlineLevel="1">
      <c r="A172" s="3"/>
      <c r="B172" s="9">
        <v>158</v>
      </c>
      <c r="C172" s="3"/>
      <c r="D172" s="3">
        <v>101</v>
      </c>
      <c r="E172" s="36" t="s">
        <v>135</v>
      </c>
      <c r="F172" s="103">
        <f>HLOOKUP($E$3,$M$3:$T$261,#REF!,FALSE)</f>
        <v>0.01014563296099591</v>
      </c>
      <c r="G172" s="48">
        <f>F172</f>
        <v>0.01014563296099591</v>
      </c>
      <c r="H172" s="48">
        <f>G172</f>
        <v>0.01014563296099591</v>
      </c>
      <c r="I172" s="48">
        <f>H172</f>
        <v>0.01014563296099591</v>
      </c>
      <c r="J172" s="48">
        <f>I172</f>
        <v>0.01014563296099591</v>
      </c>
      <c r="K172" s="48">
        <f>J172</f>
        <v>0.01014563296099591</v>
      </c>
      <c r="L172" s="48">
        <f>K172</f>
        <v>0.01014563296099591</v>
      </c>
      <c r="M172" s="200"/>
      <c r="N172" s="110"/>
      <c r="O172" s="110"/>
      <c r="P172" s="110"/>
      <c r="Q172" s="110"/>
      <c r="R172" s="110"/>
      <c r="S172" s="109"/>
      <c r="T172" s="109"/>
      <c r="CI172" s="67"/>
    </row>
    <row r="173" spans="1:87" ht="13" outlineLevel="1">
      <c r="A173" s="3"/>
      <c r="B173" s="9">
        <v>159</v>
      </c>
      <c r="C173" s="3"/>
      <c r="D173" s="3">
        <v>102</v>
      </c>
      <c r="E173" s="36" t="s">
        <v>136</v>
      </c>
      <c r="F173" s="103">
        <f>HLOOKUP($E$3,$M$3:$T$261,#REF!,FALSE)</f>
        <v>3.9913554246706617E-05</v>
      </c>
      <c r="G173" s="48">
        <f>F173</f>
        <v>3.9913554246706617E-05</v>
      </c>
      <c r="H173" s="48">
        <f>G173</f>
        <v>3.9913554246706617E-05</v>
      </c>
      <c r="I173" s="48">
        <f>H173</f>
        <v>3.9913554246706617E-05</v>
      </c>
      <c r="J173" s="48">
        <f>I173</f>
        <v>3.9913554246706617E-05</v>
      </c>
      <c r="K173" s="48">
        <f>J173</f>
        <v>3.9913554246706617E-05</v>
      </c>
      <c r="L173" s="48">
        <f>K173</f>
        <v>3.9913554246706617E-05</v>
      </c>
      <c r="M173" s="200"/>
      <c r="N173" s="110"/>
      <c r="O173" s="110"/>
      <c r="P173" s="110"/>
      <c r="Q173" s="110"/>
      <c r="R173" s="110"/>
      <c r="S173" s="109"/>
      <c r="T173" s="109"/>
      <c r="CI173" s="67"/>
    </row>
    <row r="174" spans="1:87" ht="13" outlineLevel="1">
      <c r="A174" s="3"/>
      <c r="B174" s="9">
        <v>160</v>
      </c>
      <c r="C174" s="3"/>
      <c r="D174" s="3">
        <v>103</v>
      </c>
      <c r="E174" s="36" t="s">
        <v>137</v>
      </c>
      <c r="F174" s="103">
        <f>HLOOKUP($E$3,$M$3:$T$261,#REF!,FALSE)</f>
        <v>0.15314585004078135</v>
      </c>
      <c r="G174" s="48">
        <f>F174</f>
        <v>0.15314585004078135</v>
      </c>
      <c r="H174" s="48">
        <f>G174</f>
        <v>0.15314585004078135</v>
      </c>
      <c r="I174" s="48">
        <f>H174</f>
        <v>0.15314585004078135</v>
      </c>
      <c r="J174" s="48">
        <f>I174</f>
        <v>0.15314585004078135</v>
      </c>
      <c r="K174" s="48">
        <f>J174</f>
        <v>0.15314585004078135</v>
      </c>
      <c r="L174" s="48">
        <f>K174</f>
        <v>0.15314585004078135</v>
      </c>
      <c r="M174" s="200"/>
      <c r="N174" s="110"/>
      <c r="O174" s="110"/>
      <c r="P174" s="110"/>
      <c r="Q174" s="110"/>
      <c r="R174" s="110"/>
      <c r="S174" s="109"/>
      <c r="T174" s="109"/>
      <c r="CI174" s="67"/>
    </row>
    <row r="175" spans="1:87" ht="13" outlineLevel="1">
      <c r="A175" s="3"/>
      <c r="B175" s="9">
        <v>161</v>
      </c>
      <c r="C175" s="3"/>
      <c r="D175" s="3">
        <v>104</v>
      </c>
      <c r="E175" s="36" t="s">
        <v>138</v>
      </c>
      <c r="F175" s="103">
        <f>HLOOKUP($E$3,$M$3:$T$261,#REF!,FALSE)</f>
        <v>0.086219061139922698</v>
      </c>
      <c r="G175" s="48">
        <f>F175</f>
        <v>0.086219061139922698</v>
      </c>
      <c r="H175" s="48">
        <f>G175</f>
        <v>0.086219061139922698</v>
      </c>
      <c r="I175" s="48">
        <f>H175</f>
        <v>0.086219061139922698</v>
      </c>
      <c r="J175" s="48">
        <f>I175</f>
        <v>0.086219061139922698</v>
      </c>
      <c r="K175" s="48">
        <f>J175</f>
        <v>0.086219061139922698</v>
      </c>
      <c r="L175" s="48">
        <f>K175</f>
        <v>0.086219061139922698</v>
      </c>
      <c r="M175" s="200"/>
      <c r="N175" s="110"/>
      <c r="O175" s="110"/>
      <c r="P175" s="110"/>
      <c r="Q175" s="110"/>
      <c r="R175" s="110"/>
      <c r="S175" s="109"/>
      <c r="T175" s="109"/>
      <c r="CI175" s="67"/>
    </row>
    <row r="176" spans="1:87" ht="13" outlineLevel="1">
      <c r="A176" s="3"/>
      <c r="B176" s="9">
        <v>162</v>
      </c>
      <c r="C176" s="3"/>
      <c r="D176" s="3">
        <v>105</v>
      </c>
      <c r="E176" s="36" t="s">
        <v>139</v>
      </c>
      <c r="F176" s="103">
        <f>HLOOKUP($E$3,$M$3:$T$261,#REF!,FALSE)</f>
        <v>-0.2089484017558583</v>
      </c>
      <c r="G176" s="48">
        <f>F176</f>
        <v>-0.2089484017558583</v>
      </c>
      <c r="H176" s="48">
        <f>G176</f>
        <v>-0.2089484017558583</v>
      </c>
      <c r="I176" s="48">
        <f>H176</f>
        <v>-0.2089484017558583</v>
      </c>
      <c r="J176" s="48">
        <f>I176</f>
        <v>-0.2089484017558583</v>
      </c>
      <c r="K176" s="48">
        <f>J176</f>
        <v>-0.2089484017558583</v>
      </c>
      <c r="L176" s="48">
        <f>K176</f>
        <v>-0.2089484017558583</v>
      </c>
      <c r="M176" s="200"/>
      <c r="N176" s="110"/>
      <c r="O176" s="110"/>
      <c r="P176" s="110"/>
      <c r="Q176" s="110"/>
      <c r="R176" s="110"/>
      <c r="S176" s="109"/>
      <c r="T176" s="109"/>
      <c r="CI176" s="67"/>
    </row>
    <row r="177" spans="1:87" ht="13" outlineLevel="1">
      <c r="A177" s="3"/>
      <c r="B177" s="9">
        <v>163</v>
      </c>
      <c r="C177" s="3"/>
      <c r="D177" s="3">
        <v>106</v>
      </c>
      <c r="E177" s="36" t="s">
        <v>140</v>
      </c>
      <c r="F177" s="103">
        <f>HLOOKUP($E$3,$M$3:$T$261,#REF!,FALSE)</f>
        <v>0.28465242249808648</v>
      </c>
      <c r="G177" s="48">
        <f>F177</f>
        <v>0.28465242249808648</v>
      </c>
      <c r="H177" s="48">
        <f>G177</f>
        <v>0.28465242249808648</v>
      </c>
      <c r="I177" s="48">
        <f>H177</f>
        <v>0.28465242249808648</v>
      </c>
      <c r="J177" s="48">
        <f>I177</f>
        <v>0.28465242249808648</v>
      </c>
      <c r="K177" s="48">
        <f>J177</f>
        <v>0.28465242249808648</v>
      </c>
      <c r="L177" s="48">
        <f>K177</f>
        <v>0.28465242249808648</v>
      </c>
      <c r="M177" s="200"/>
      <c r="N177" s="110"/>
      <c r="O177" s="110"/>
      <c r="P177" s="110"/>
      <c r="Q177" s="110"/>
      <c r="R177" s="110"/>
      <c r="S177" s="109"/>
      <c r="T177" s="109"/>
      <c r="CI177" s="67"/>
    </row>
    <row r="178" spans="1:87" ht="13" outlineLevel="1">
      <c r="A178" s="3"/>
      <c r="B178" s="9">
        <v>164</v>
      </c>
      <c r="C178" s="3"/>
      <c r="D178" s="3">
        <v>107</v>
      </c>
      <c r="E178" s="36" t="s">
        <v>141</v>
      </c>
      <c r="F178" s="103">
        <f>HLOOKUP($E$3,$M$3:$T$261,#REF!,FALSE)</f>
        <v>0.01596697492517023</v>
      </c>
      <c r="G178" s="48">
        <f>F178</f>
        <v>0.01596697492517023</v>
      </c>
      <c r="H178" s="48">
        <f>G178</f>
        <v>0.01596697492517023</v>
      </c>
      <c r="I178" s="48">
        <f>H178</f>
        <v>0.01596697492517023</v>
      </c>
      <c r="J178" s="48">
        <f>I178</f>
        <v>0.01596697492517023</v>
      </c>
      <c r="K178" s="48">
        <f>J178</f>
        <v>0.01596697492517023</v>
      </c>
      <c r="L178" s="48">
        <f>K178</f>
        <v>0.01596697492517023</v>
      </c>
      <c r="M178" s="200"/>
      <c r="N178" s="110"/>
      <c r="O178" s="110"/>
      <c r="P178" s="110"/>
      <c r="Q178" s="110"/>
      <c r="R178" s="110"/>
      <c r="S178" s="109"/>
      <c r="T178" s="109"/>
      <c r="CI178" s="67"/>
    </row>
    <row r="179" spans="1:87" ht="13" outlineLevel="1">
      <c r="A179" s="3"/>
      <c r="B179" s="9">
        <v>165</v>
      </c>
      <c r="C179" s="3"/>
      <c r="D179" s="3">
        <v>108</v>
      </c>
      <c r="E179" s="36" t="s">
        <v>142</v>
      </c>
      <c r="F179" s="103">
        <f>HLOOKUP($E$3,$M$3:$T$261,#REF!,FALSE)</f>
        <v>0.016952934743774482</v>
      </c>
      <c r="G179" s="48">
        <f>F179</f>
        <v>0.016952934743774482</v>
      </c>
      <c r="H179" s="48">
        <f>G179</f>
        <v>0.016952934743774482</v>
      </c>
      <c r="I179" s="48">
        <f>H179</f>
        <v>0.016952934743774482</v>
      </c>
      <c r="J179" s="48">
        <f>I179</f>
        <v>0.016952934743774482</v>
      </c>
      <c r="K179" s="48">
        <f>J179</f>
        <v>0.016952934743774482</v>
      </c>
      <c r="L179" s="48">
        <f>K179</f>
        <v>0.016952934743774482</v>
      </c>
      <c r="M179" s="200"/>
      <c r="N179" s="110"/>
      <c r="O179" s="110"/>
      <c r="P179" s="110"/>
      <c r="Q179" s="110"/>
      <c r="R179" s="110"/>
      <c r="S179" s="109"/>
      <c r="T179" s="109"/>
      <c r="CI179" s="67"/>
    </row>
    <row r="180" spans="1:87" ht="13" outlineLevel="1">
      <c r="A180" s="3"/>
      <c r="B180" s="9">
        <v>166</v>
      </c>
      <c r="C180" s="3"/>
      <c r="D180" s="3"/>
      <c r="E180" s="36"/>
      <c r="L180" s="89"/>
      <c r="M180" s="200"/>
      <c r="N180" s="110"/>
      <c r="O180" s="110"/>
      <c r="P180" s="110"/>
      <c r="Q180" s="110"/>
      <c r="R180" s="110"/>
      <c r="S180" s="109"/>
      <c r="T180" s="109"/>
      <c r="CI180" s="67"/>
    </row>
    <row r="181" spans="1:87" ht="13" outlineLevel="1">
      <c r="A181" s="3"/>
      <c r="B181" s="9">
        <v>167</v>
      </c>
      <c r="C181" s="27" t="s">
        <v>143</v>
      </c>
      <c r="D181" s="27"/>
      <c r="E181" s="36"/>
      <c r="L181" s="89"/>
      <c r="M181" s="200"/>
      <c r="N181" s="110"/>
      <c r="O181" s="110"/>
      <c r="P181" s="110"/>
      <c r="Q181" s="110"/>
      <c r="R181" s="110"/>
      <c r="S181" s="109"/>
      <c r="T181" s="109"/>
      <c r="CI181" s="67"/>
    </row>
    <row r="182" spans="1:87" ht="13" outlineLevel="1">
      <c r="A182" s="3"/>
      <c r="B182" s="9">
        <v>168</v>
      </c>
      <c r="C182" s="3"/>
      <c r="D182" s="3"/>
      <c r="E182" s="36"/>
      <c r="L182" s="89"/>
      <c r="M182" s="200"/>
      <c r="N182" s="110"/>
      <c r="O182" s="110"/>
      <c r="P182" s="110"/>
      <c r="Q182" s="110"/>
      <c r="R182" s="110"/>
      <c r="S182" s="109"/>
      <c r="T182" s="109"/>
      <c r="CI182" s="67"/>
    </row>
    <row r="183" spans="1:87" ht="13" outlineLevel="1">
      <c r="A183" s="3"/>
      <c r="B183" s="9">
        <v>169</v>
      </c>
      <c r="C183" s="49"/>
      <c r="D183" s="49"/>
      <c r="E183" s="45" t="s">
        <v>125</v>
      </c>
      <c r="F183" s="103">
        <f>HLOOKUP($E$3,$M$3:$T$261,#REF!,FALSE)</f>
        <v>1</v>
      </c>
      <c r="G183" s="48">
        <f>F183</f>
        <v>1</v>
      </c>
      <c r="H183" s="48">
        <f>G183</f>
        <v>1</v>
      </c>
      <c r="I183" s="48">
        <f>H183</f>
        <v>1</v>
      </c>
      <c r="J183" s="48">
        <f>I183</f>
        <v>1</v>
      </c>
      <c r="K183" s="48">
        <f>J183</f>
        <v>1</v>
      </c>
      <c r="L183" s="48">
        <f>K183</f>
        <v>1</v>
      </c>
      <c r="M183" s="200"/>
      <c r="N183" s="110"/>
      <c r="O183" s="110"/>
      <c r="P183" s="110"/>
      <c r="Q183" s="110"/>
      <c r="R183" s="110"/>
      <c r="S183" s="109"/>
      <c r="T183" s="109"/>
      <c r="CI183" s="67"/>
    </row>
    <row r="184" spans="1:87" ht="13" outlineLevel="1">
      <c r="A184" s="3"/>
      <c r="B184" s="9">
        <v>170</v>
      </c>
      <c r="C184" s="49"/>
      <c r="D184" s="49"/>
      <c r="E184" s="45" t="s">
        <v>126</v>
      </c>
      <c r="F184" s="103">
        <f>HLOOKUP($E$3,$M$3:$T$261,#REF!,FALSE)</f>
        <v>0.16439999999999999</v>
      </c>
      <c r="G184" s="48">
        <f>F184</f>
        <v>0.16439999999999999</v>
      </c>
      <c r="H184" s="48">
        <f>G184</f>
        <v>0.16439999999999999</v>
      </c>
      <c r="I184" s="48">
        <f>H184</f>
        <v>0.16439999999999999</v>
      </c>
      <c r="J184" s="48">
        <f>I184</f>
        <v>0.16439999999999999</v>
      </c>
      <c r="K184" s="48">
        <f>J184</f>
        <v>0.16439999999999999</v>
      </c>
      <c r="L184" s="48">
        <f>K184</f>
        <v>0.16439999999999999</v>
      </c>
      <c r="M184" s="200"/>
      <c r="N184" s="110"/>
      <c r="O184" s="110"/>
      <c r="P184" s="110"/>
      <c r="Q184" s="110"/>
      <c r="R184" s="110"/>
      <c r="S184" s="109"/>
      <c r="T184" s="109"/>
      <c r="CI184" s="67"/>
    </row>
    <row r="185" spans="1:87" ht="13" outlineLevel="1">
      <c r="A185" s="3"/>
      <c r="B185" s="9">
        <v>171</v>
      </c>
      <c r="C185" s="7"/>
      <c r="D185" s="7"/>
      <c r="E185" s="50" t="s">
        <v>127</v>
      </c>
      <c r="F185" s="103">
        <f>HLOOKUP($E$3,$M$3:$T$261,#REF!,FALSE)</f>
        <v>63422.311800000003</v>
      </c>
      <c r="G185" s="48">
        <f>F185</f>
        <v>63422.311800000003</v>
      </c>
      <c r="H185" s="48">
        <f>G185</f>
        <v>63422.311800000003</v>
      </c>
      <c r="I185" s="48">
        <f>H185</f>
        <v>63422.311800000003</v>
      </c>
      <c r="J185" s="48">
        <f>I185</f>
        <v>63422.311800000003</v>
      </c>
      <c r="K185" s="48">
        <f>J185</f>
        <v>63422.311800000003</v>
      </c>
      <c r="L185" s="48">
        <f>K185</f>
        <v>63422.311800000003</v>
      </c>
      <c r="M185" s="200"/>
      <c r="N185" s="110"/>
      <c r="O185" s="110"/>
      <c r="P185" s="110"/>
      <c r="Q185" s="110"/>
      <c r="R185" s="110"/>
      <c r="S185" s="109"/>
      <c r="T185" s="109"/>
      <c r="CI185" s="67"/>
    </row>
    <row r="186" spans="1:87" ht="13" outlineLevel="1">
      <c r="A186" s="3"/>
      <c r="B186" s="9">
        <v>172</v>
      </c>
      <c r="C186" s="7"/>
      <c r="D186" s="7"/>
      <c r="E186" s="50" t="s">
        <v>128</v>
      </c>
      <c r="F186" s="103">
        <f>HLOOKUP($E$3,$M$3:$T$261,#REF!,FALSE)</f>
        <v>345129.01459999999</v>
      </c>
      <c r="G186" s="48">
        <f>F186</f>
        <v>345129.01459999999</v>
      </c>
      <c r="H186" s="48">
        <f>G186</f>
        <v>345129.01459999999</v>
      </c>
      <c r="I186" s="48">
        <f>H186</f>
        <v>345129.01459999999</v>
      </c>
      <c r="J186" s="48">
        <f>I186</f>
        <v>345129.01459999999</v>
      </c>
      <c r="K186" s="48">
        <f>J186</f>
        <v>345129.01459999999</v>
      </c>
      <c r="L186" s="48">
        <f>K186</f>
        <v>345129.01459999999</v>
      </c>
      <c r="M186" s="200"/>
      <c r="N186" s="110"/>
      <c r="O186" s="110"/>
      <c r="P186" s="110"/>
      <c r="Q186" s="110"/>
      <c r="R186" s="110"/>
      <c r="S186" s="109"/>
      <c r="T186" s="109"/>
      <c r="CI186" s="67"/>
    </row>
    <row r="187" spans="1:87" ht="13" outlineLevel="1">
      <c r="A187" s="3"/>
      <c r="B187" s="9">
        <v>173</v>
      </c>
      <c r="C187" s="7"/>
      <c r="D187" s="7"/>
      <c r="E187" s="50" t="s">
        <v>144</v>
      </c>
      <c r="F187" s="24">
        <f>HLOOKUP($E$3,$M$3:$T$261,#REF!,FALSE)</f>
        <v>1630327994.0632999</v>
      </c>
      <c r="G187" s="51">
        <f>F187</f>
        <v>1630327994.0632999</v>
      </c>
      <c r="H187" s="51">
        <f>G187</f>
        <v>1630327994.0632999</v>
      </c>
      <c r="I187" s="51">
        <f>H187</f>
        <v>1630327994.0632999</v>
      </c>
      <c r="J187" s="51">
        <f>I187</f>
        <v>1630327994.0632999</v>
      </c>
      <c r="K187" s="51">
        <f>J187</f>
        <v>1630327994.0632999</v>
      </c>
      <c r="L187" s="51">
        <f>K187</f>
        <v>1630327994.0632999</v>
      </c>
      <c r="M187" s="200"/>
      <c r="N187" s="110"/>
      <c r="O187" s="110"/>
      <c r="P187" s="110"/>
      <c r="Q187" s="110"/>
      <c r="R187" s="110"/>
      <c r="S187" s="109"/>
      <c r="T187" s="109"/>
      <c r="CI187" s="67"/>
    </row>
    <row r="188" spans="1:87" ht="13" outlineLevel="1">
      <c r="A188" s="3"/>
      <c r="B188" s="9">
        <v>174</v>
      </c>
      <c r="C188" s="49"/>
      <c r="D188" s="49"/>
      <c r="E188" s="45" t="s">
        <v>130</v>
      </c>
      <c r="F188" s="103">
        <f>HLOOKUP($E$3,$M$3:$T$261,#REF!,FALSE)</f>
        <v>1</v>
      </c>
      <c r="G188" s="48">
        <f>F188</f>
        <v>1</v>
      </c>
      <c r="H188" s="48">
        <f>G188</f>
        <v>1</v>
      </c>
      <c r="I188" s="48">
        <f>H188</f>
        <v>1</v>
      </c>
      <c r="J188" s="48">
        <f>I188</f>
        <v>1</v>
      </c>
      <c r="K188" s="48">
        <f>J188</f>
        <v>1</v>
      </c>
      <c r="L188" s="48">
        <f>K188</f>
        <v>1</v>
      </c>
      <c r="M188" s="200"/>
      <c r="N188" s="110"/>
      <c r="O188" s="110"/>
      <c r="P188" s="110"/>
      <c r="Q188" s="110"/>
      <c r="R188" s="110"/>
      <c r="S188" s="109"/>
      <c r="T188" s="109"/>
      <c r="CI188" s="67"/>
    </row>
    <row r="189" spans="1:87" ht="13" outlineLevel="1">
      <c r="A189" s="3"/>
      <c r="B189" s="9">
        <v>175</v>
      </c>
      <c r="C189" s="49"/>
      <c r="D189" s="49"/>
      <c r="E189" s="45" t="s">
        <v>131</v>
      </c>
      <c r="F189" s="103">
        <f>HLOOKUP($E$3,$M$3:$T$261,#REF!,FALSE)</f>
        <v>1</v>
      </c>
      <c r="G189" s="48">
        <f>F189</f>
        <v>1</v>
      </c>
      <c r="H189" s="48">
        <f>G189</f>
        <v>1</v>
      </c>
      <c r="I189" s="48">
        <f>H189</f>
        <v>1</v>
      </c>
      <c r="J189" s="48">
        <f>I189</f>
        <v>1</v>
      </c>
      <c r="K189" s="48">
        <f>J189</f>
        <v>1</v>
      </c>
      <c r="L189" s="48">
        <f>K189</f>
        <v>1</v>
      </c>
      <c r="M189" s="200"/>
      <c r="N189" s="110"/>
      <c r="O189" s="110"/>
      <c r="P189" s="110"/>
      <c r="Q189" s="110"/>
      <c r="R189" s="110"/>
      <c r="S189" s="109"/>
      <c r="T189" s="109"/>
      <c r="CI189" s="67"/>
    </row>
    <row r="190" spans="1:87" ht="13" outlineLevel="1">
      <c r="A190" s="3"/>
      <c r="B190" s="9">
        <v>176</v>
      </c>
      <c r="C190" s="49"/>
      <c r="D190" s="49"/>
      <c r="E190" s="45" t="s">
        <v>132</v>
      </c>
      <c r="F190" s="103">
        <f>HLOOKUP($E$3,$M$3:$T$261,#REF!,FALSE)</f>
        <v>1</v>
      </c>
      <c r="G190" s="48">
        <f>F190</f>
        <v>1</v>
      </c>
      <c r="H190" s="48">
        <f>G190</f>
        <v>1</v>
      </c>
      <c r="I190" s="48">
        <f>H190</f>
        <v>1</v>
      </c>
      <c r="J190" s="48">
        <f>I190</f>
        <v>1</v>
      </c>
      <c r="K190" s="48">
        <f>J190</f>
        <v>1</v>
      </c>
      <c r="L190" s="48">
        <f>K190</f>
        <v>1</v>
      </c>
      <c r="M190" s="200"/>
      <c r="N190" s="110"/>
      <c r="O190" s="110"/>
      <c r="P190" s="110"/>
      <c r="Q190" s="110"/>
      <c r="R190" s="110"/>
      <c r="S190" s="109"/>
      <c r="T190" s="109"/>
      <c r="CI190" s="67"/>
    </row>
    <row r="191" spans="1:87" ht="13" outlineLevel="1">
      <c r="A191" s="3"/>
      <c r="B191" s="9">
        <v>177</v>
      </c>
      <c r="C191" s="49"/>
      <c r="D191" s="49"/>
      <c r="E191" s="45" t="s">
        <v>133</v>
      </c>
      <c r="F191" s="103">
        <f>HLOOKUP($E$3,$M$3:$T$261,#REF!,FALSE)</f>
        <v>1</v>
      </c>
      <c r="G191" s="48">
        <f>F191</f>
        <v>1</v>
      </c>
      <c r="H191" s="48">
        <f>G191</f>
        <v>1</v>
      </c>
      <c r="I191" s="48">
        <f>H191</f>
        <v>1</v>
      </c>
      <c r="J191" s="48">
        <f>I191</f>
        <v>1</v>
      </c>
      <c r="K191" s="48">
        <f>J191</f>
        <v>1</v>
      </c>
      <c r="L191" s="48">
        <f>K191</f>
        <v>1</v>
      </c>
      <c r="M191" s="200"/>
      <c r="N191" s="110"/>
      <c r="O191" s="110"/>
      <c r="P191" s="110"/>
      <c r="Q191" s="110"/>
      <c r="R191" s="110"/>
      <c r="S191" s="109"/>
      <c r="T191" s="109"/>
      <c r="CI191" s="67"/>
    </row>
    <row r="192" spans="1:87" ht="13" outlineLevel="1">
      <c r="A192" s="3"/>
      <c r="B192" s="9">
        <v>178</v>
      </c>
      <c r="C192" s="49"/>
      <c r="D192" s="49"/>
      <c r="E192" s="45" t="s">
        <v>134</v>
      </c>
      <c r="F192" s="103">
        <f>HLOOKUP($E$3,$M$3:$T$261,#REF!,FALSE)</f>
        <v>1</v>
      </c>
      <c r="G192" s="48">
        <f>F192</f>
        <v>1</v>
      </c>
      <c r="H192" s="48">
        <f>G192</f>
        <v>1</v>
      </c>
      <c r="I192" s="48">
        <f>H192</f>
        <v>1</v>
      </c>
      <c r="J192" s="48">
        <f>I192</f>
        <v>1</v>
      </c>
      <c r="K192" s="48">
        <f>J192</f>
        <v>1</v>
      </c>
      <c r="L192" s="48">
        <f>K192</f>
        <v>1</v>
      </c>
      <c r="M192" s="200"/>
      <c r="N192" s="110"/>
      <c r="O192" s="110"/>
      <c r="P192" s="110"/>
      <c r="Q192" s="110"/>
      <c r="R192" s="110"/>
      <c r="S192" s="109"/>
      <c r="T192" s="109"/>
      <c r="CI192" s="67"/>
    </row>
    <row r="193" spans="1:87" ht="13" outlineLevel="1">
      <c r="A193" s="3"/>
      <c r="B193" s="9">
        <v>179</v>
      </c>
      <c r="C193" s="49"/>
      <c r="D193" s="49"/>
      <c r="E193" s="45" t="s">
        <v>135</v>
      </c>
      <c r="F193" s="103">
        <f>HLOOKUP($E$3,$M$3:$T$261,#REF!,FALSE)</f>
        <v>1</v>
      </c>
      <c r="G193" s="48">
        <f>F193</f>
        <v>1</v>
      </c>
      <c r="H193" s="48">
        <f>G193</f>
        <v>1</v>
      </c>
      <c r="I193" s="48">
        <f>H193</f>
        <v>1</v>
      </c>
      <c r="J193" s="48">
        <f>I193</f>
        <v>1</v>
      </c>
      <c r="K193" s="48">
        <f>J193</f>
        <v>1</v>
      </c>
      <c r="L193" s="48">
        <f>K193</f>
        <v>1</v>
      </c>
      <c r="M193" s="200"/>
      <c r="N193" s="110"/>
      <c r="O193" s="110"/>
      <c r="P193" s="110"/>
      <c r="Q193" s="110"/>
      <c r="R193" s="110"/>
      <c r="S193" s="109"/>
      <c r="T193" s="109"/>
      <c r="CI193" s="67"/>
    </row>
    <row r="194" spans="1:87" ht="13" outlineLevel="1">
      <c r="A194" s="3"/>
      <c r="B194" s="9">
        <v>180</v>
      </c>
      <c r="C194" s="49"/>
      <c r="D194" s="49"/>
      <c r="E194" s="45" t="s">
        <v>136</v>
      </c>
      <c r="F194" s="103">
        <f>HLOOKUP($E$3,$M$3:$T$261,#REF!,FALSE)</f>
        <v>1</v>
      </c>
      <c r="G194" s="48">
        <f>F194</f>
        <v>1</v>
      </c>
      <c r="H194" s="48">
        <f>G194</f>
        <v>1</v>
      </c>
      <c r="I194" s="48">
        <f>H194</f>
        <v>1</v>
      </c>
      <c r="J194" s="48">
        <f>I194</f>
        <v>1</v>
      </c>
      <c r="K194" s="48">
        <f>J194</f>
        <v>1</v>
      </c>
      <c r="L194" s="48">
        <f>K194</f>
        <v>1</v>
      </c>
      <c r="M194" s="200"/>
      <c r="N194" s="110"/>
      <c r="O194" s="110"/>
      <c r="P194" s="110"/>
      <c r="Q194" s="110"/>
      <c r="R194" s="110"/>
      <c r="S194" s="109"/>
      <c r="T194" s="109"/>
      <c r="CI194" s="67"/>
    </row>
    <row r="195" spans="1:87" ht="13" outlineLevel="1">
      <c r="A195" s="3"/>
      <c r="B195" s="9">
        <v>181</v>
      </c>
      <c r="C195" s="49"/>
      <c r="D195" s="49"/>
      <c r="E195" s="45" t="s">
        <v>137</v>
      </c>
      <c r="F195" s="103">
        <f>HLOOKUP($E$3,$M$3:$T$261,#REF!,FALSE)</f>
        <v>1</v>
      </c>
      <c r="G195" s="48">
        <f>F195</f>
        <v>1</v>
      </c>
      <c r="H195" s="48">
        <f>G195</f>
        <v>1</v>
      </c>
      <c r="I195" s="48">
        <f>H195</f>
        <v>1</v>
      </c>
      <c r="J195" s="48">
        <f>I195</f>
        <v>1</v>
      </c>
      <c r="K195" s="48">
        <f>J195</f>
        <v>1</v>
      </c>
      <c r="L195" s="48">
        <f>K195</f>
        <v>1</v>
      </c>
      <c r="M195" s="200"/>
      <c r="N195" s="110"/>
      <c r="O195" s="110"/>
      <c r="P195" s="110"/>
      <c r="Q195" s="110"/>
      <c r="R195" s="110"/>
      <c r="S195" s="109"/>
      <c r="T195" s="109"/>
      <c r="CI195" s="67"/>
    </row>
    <row r="196" spans="1:87" ht="13" outlineLevel="1">
      <c r="A196" s="3"/>
      <c r="B196" s="9">
        <v>182</v>
      </c>
      <c r="C196" s="49"/>
      <c r="D196" s="49"/>
      <c r="E196" s="45" t="s">
        <v>138</v>
      </c>
      <c r="F196" s="103">
        <f>HLOOKUP($E$3,$M$3:$T$261,#REF!,FALSE)</f>
        <v>1</v>
      </c>
      <c r="G196" s="48">
        <f>F196</f>
        <v>1</v>
      </c>
      <c r="H196" s="48">
        <f>G196</f>
        <v>1</v>
      </c>
      <c r="I196" s="48">
        <f>H196</f>
        <v>1</v>
      </c>
      <c r="J196" s="48">
        <f>I196</f>
        <v>1</v>
      </c>
      <c r="K196" s="48">
        <f>J196</f>
        <v>1</v>
      </c>
      <c r="L196" s="48">
        <f>K196</f>
        <v>1</v>
      </c>
      <c r="M196" s="200"/>
      <c r="N196" s="110"/>
      <c r="O196" s="110"/>
      <c r="P196" s="110"/>
      <c r="Q196" s="110"/>
      <c r="R196" s="110"/>
      <c r="S196" s="109"/>
      <c r="T196" s="109"/>
      <c r="CI196" s="67"/>
    </row>
    <row r="197" spans="1:87" ht="13" outlineLevel="1">
      <c r="A197" s="3"/>
      <c r="B197" s="9">
        <v>183</v>
      </c>
      <c r="C197" s="49"/>
      <c r="D197" s="49"/>
      <c r="E197" s="45" t="s">
        <v>139</v>
      </c>
      <c r="F197" s="103">
        <f>HLOOKUP($E$3,$M$3:$T$261,#REF!,FALSE)</f>
        <v>1</v>
      </c>
      <c r="G197" s="48">
        <f>F197</f>
        <v>1</v>
      </c>
      <c r="H197" s="48">
        <f>G197</f>
        <v>1</v>
      </c>
      <c r="I197" s="48">
        <f>H197</f>
        <v>1</v>
      </c>
      <c r="J197" s="48">
        <f>I197</f>
        <v>1</v>
      </c>
      <c r="K197" s="48">
        <f>J197</f>
        <v>1</v>
      </c>
      <c r="L197" s="48">
        <f>K197</f>
        <v>1</v>
      </c>
      <c r="M197" s="200"/>
      <c r="N197" s="110"/>
      <c r="O197" s="110"/>
      <c r="P197" s="110"/>
      <c r="Q197" s="110"/>
      <c r="R197" s="110"/>
      <c r="S197" s="109"/>
      <c r="T197" s="109"/>
      <c r="CI197" s="67"/>
    </row>
    <row r="198" spans="1:87" ht="13" outlineLevel="1">
      <c r="A198" s="3"/>
      <c r="B198" s="9">
        <v>184</v>
      </c>
      <c r="C198" s="7"/>
      <c r="D198" s="7"/>
      <c r="E198" s="50" t="s">
        <v>140</v>
      </c>
      <c r="F198" s="24">
        <f>HLOOKUP($E$3,$M$3:$T$261,#REF!,FALSE)</f>
        <v>2722.7979999999998</v>
      </c>
      <c r="G198" s="51">
        <f>F198</f>
        <v>2722.7979999999998</v>
      </c>
      <c r="H198" s="51">
        <f>G198</f>
        <v>2722.7979999999998</v>
      </c>
      <c r="I198" s="51">
        <f>H198</f>
        <v>2722.7979999999998</v>
      </c>
      <c r="J198" s="51">
        <f>I198</f>
        <v>2722.7979999999998</v>
      </c>
      <c r="K198" s="51">
        <f>J198</f>
        <v>2722.7979999999998</v>
      </c>
      <c r="L198" s="51">
        <f>K198</f>
        <v>2722.7979999999998</v>
      </c>
      <c r="M198" s="200"/>
      <c r="N198" s="110"/>
      <c r="O198" s="110"/>
      <c r="P198" s="110"/>
      <c r="Q198" s="110"/>
      <c r="R198" s="110"/>
      <c r="S198" s="109"/>
      <c r="T198" s="109"/>
      <c r="CI198" s="67"/>
    </row>
    <row r="199" spans="1:87" ht="13" outlineLevel="1">
      <c r="A199" s="3"/>
      <c r="B199" s="9">
        <v>185</v>
      </c>
      <c r="C199" s="52"/>
      <c r="D199" s="52"/>
      <c r="E199" s="53" t="s">
        <v>141</v>
      </c>
      <c r="F199" s="103">
        <f>HLOOKUP($E$3,$M$3:$T$261,#REF!,FALSE)</f>
        <v>0.12859999999999999</v>
      </c>
      <c r="G199" s="48">
        <f>F199</f>
        <v>0.12859999999999999</v>
      </c>
      <c r="H199" s="48">
        <f>G199</f>
        <v>0.12859999999999999</v>
      </c>
      <c r="I199" s="48">
        <f>H199</f>
        <v>0.12859999999999999</v>
      </c>
      <c r="J199" s="48">
        <f>I199</f>
        <v>0.12859999999999999</v>
      </c>
      <c r="K199" s="48">
        <f>J199</f>
        <v>0.12859999999999999</v>
      </c>
      <c r="L199" s="48">
        <f>K199</f>
        <v>0.12859999999999999</v>
      </c>
      <c r="M199" s="200"/>
      <c r="N199" s="110"/>
      <c r="O199" s="110"/>
      <c r="P199" s="110"/>
      <c r="Q199" s="110"/>
      <c r="R199" s="110"/>
      <c r="S199" s="109"/>
      <c r="T199" s="109"/>
      <c r="CI199" s="67"/>
    </row>
    <row r="200" spans="1:87" ht="13" outlineLevel="1">
      <c r="A200" s="3"/>
      <c r="B200" s="9">
        <v>186</v>
      </c>
      <c r="C200" s="49"/>
      <c r="D200" s="49"/>
      <c r="E200" s="45"/>
      <c r="F200" s="103"/>
      <c r="G200" s="48"/>
      <c r="H200" s="48"/>
      <c r="I200" s="48"/>
      <c r="J200" s="48"/>
      <c r="K200" s="48"/>
      <c r="L200" s="48"/>
      <c r="M200" s="200"/>
      <c r="N200" s="110"/>
      <c r="O200" s="110"/>
      <c r="P200" s="110"/>
      <c r="Q200" s="110"/>
      <c r="R200" s="110"/>
      <c r="S200" s="109"/>
      <c r="T200" s="109"/>
      <c r="CI200" s="67"/>
    </row>
    <row r="201" spans="1:87" ht="13" outlineLevel="1">
      <c r="A201" s="3"/>
      <c r="B201" s="9">
        <v>187</v>
      </c>
      <c r="C201" s="3"/>
      <c r="D201" s="3"/>
      <c r="E201" s="36"/>
      <c r="L201" s="89"/>
      <c r="M201" s="200"/>
      <c r="N201" s="110"/>
      <c r="O201" s="110"/>
      <c r="P201" s="110"/>
      <c r="Q201" s="110"/>
      <c r="R201" s="110"/>
      <c r="S201" s="109"/>
      <c r="T201" s="109"/>
      <c r="CI201" s="67"/>
    </row>
    <row r="202" spans="1:87" ht="13" outlineLevel="1">
      <c r="A202" s="3"/>
      <c r="B202" s="9">
        <v>188</v>
      </c>
      <c r="C202" s="3"/>
      <c r="D202" s="3"/>
      <c r="E202" s="36"/>
      <c r="L202" s="89"/>
      <c r="M202" s="200"/>
      <c r="N202" s="110"/>
      <c r="O202" s="110"/>
      <c r="P202" s="110"/>
      <c r="Q202" s="110"/>
      <c r="R202" s="110"/>
      <c r="S202" s="109"/>
      <c r="T202" s="109"/>
      <c r="CI202" s="67"/>
    </row>
    <row r="203" spans="1:87" ht="13" outlineLevel="1">
      <c r="A203" s="3"/>
      <c r="B203" s="9">
        <v>189</v>
      </c>
      <c r="C203" s="27" t="s">
        <v>145</v>
      </c>
      <c r="D203" s="27"/>
      <c r="E203" s="36"/>
      <c r="L203" s="89"/>
      <c r="M203" s="200"/>
      <c r="N203" s="110"/>
      <c r="O203" s="110"/>
      <c r="P203" s="110"/>
      <c r="Q203" s="110"/>
      <c r="R203" s="110"/>
      <c r="S203" s="109"/>
      <c r="T203" s="109"/>
      <c r="CI203" s="67"/>
    </row>
    <row r="204" spans="1:87" ht="13" outlineLevel="1">
      <c r="A204" s="3"/>
      <c r="B204" s="9">
        <v>190</v>
      </c>
      <c r="C204" s="3"/>
      <c r="D204" s="3"/>
      <c r="E204" s="36"/>
      <c r="L204" s="89"/>
      <c r="M204" s="200"/>
      <c r="N204" s="110"/>
      <c r="O204" s="110"/>
      <c r="P204" s="110"/>
      <c r="Q204" s="110"/>
      <c r="R204" s="110"/>
      <c r="S204" s="109"/>
      <c r="T204" s="109"/>
      <c r="CI204" s="67"/>
    </row>
    <row r="205" spans="1:87" ht="13" outlineLevel="1">
      <c r="A205" s="3"/>
      <c r="B205" s="9">
        <v>191</v>
      </c>
      <c r="C205" s="3"/>
      <c r="D205" s="3"/>
      <c r="E205" s="36" t="s">
        <v>125</v>
      </c>
      <c r="F205" s="47">
        <f>HLOOKUP($E$3,$M$3:$T$261,#REF!,FALSE)</f>
        <v>1</v>
      </c>
      <c r="G205" s="46"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200"/>
      <c r="N205" s="110"/>
      <c r="O205" s="110"/>
      <c r="P205" s="110"/>
      <c r="Q205" s="110"/>
      <c r="R205" s="110"/>
      <c r="S205" s="109"/>
      <c r="T205" s="109"/>
      <c r="CI205" s="67"/>
    </row>
    <row r="206" spans="1:87" ht="13" outlineLevel="1">
      <c r="A206" s="3"/>
      <c r="B206" s="9">
        <v>192</v>
      </c>
      <c r="C206" s="3"/>
      <c r="D206" s="3"/>
      <c r="E206" s="36" t="s">
        <v>126</v>
      </c>
      <c r="F206" s="47">
        <f>HLOOKUP($E$3,$M$3:$T$261,#REF!,FALSE)</f>
        <v>-0.31950099230770751</v>
      </c>
      <c r="G206" s="47">
        <f>LN(G152/G184)</f>
        <v>-0.40119447892075955</v>
      </c>
      <c r="H206" s="47">
        <f>LN(H152/H184)</f>
        <v>-0.42290957835648119</v>
      </c>
      <c r="I206" s="47">
        <f>LN(I152/I184)</f>
        <v>-0.42298767809661664</v>
      </c>
      <c r="J206" s="47">
        <f>LN(J152/J184)</f>
        <v>-0.42366418451208104</v>
      </c>
      <c r="K206" s="47">
        <f>LN(K152/K184)</f>
        <v>-0.42434117338882921</v>
      </c>
      <c r="L206" s="47">
        <f>LN(L152/L184)</f>
        <v>-0.42501863483431102</v>
      </c>
      <c r="M206" s="200"/>
      <c r="N206" s="110"/>
      <c r="O206" s="110"/>
      <c r="P206" s="110"/>
      <c r="Q206" s="110"/>
      <c r="R206" s="110"/>
      <c r="S206" s="109"/>
      <c r="T206" s="109"/>
      <c r="CI206" s="67"/>
    </row>
    <row r="207" spans="1:87" ht="13" outlineLevel="1">
      <c r="A207" s="3"/>
      <c r="B207" s="9">
        <v>193</v>
      </c>
      <c r="C207" s="3"/>
      <c r="D207" s="3"/>
      <c r="E207" s="36" t="s">
        <v>127</v>
      </c>
      <c r="F207" s="47">
        <f>HLOOKUP($E$3,$M$3:$T$261,#REF!,FALSE)</f>
        <v>-0.069181382180259474</v>
      </c>
      <c r="G207" s="47">
        <f>LN(G153/G185)</f>
        <v>-0.052203699359546725</v>
      </c>
      <c r="H207" s="47">
        <f>LN(H153/H185)</f>
        <v>-0.038812410599422607</v>
      </c>
      <c r="I207" s="47">
        <f>LN(I153/I185)</f>
        <v>-0.023024136308942393</v>
      </c>
      <c r="J207" s="47">
        <f>LN(J153/J185)</f>
        <v>-0.0072247929029009873</v>
      </c>
      <c r="K207" s="47">
        <f>LN(K153/K185)</f>
        <v>0.0085633294371418971</v>
      </c>
      <c r="L207" s="47">
        <f>LN(L153/L185)</f>
        <v>0.024367682293231187</v>
      </c>
      <c r="M207" s="200"/>
      <c r="N207" s="110"/>
      <c r="O207" s="110"/>
      <c r="P207" s="110"/>
      <c r="Q207" s="110"/>
      <c r="R207" s="110"/>
      <c r="S207" s="109"/>
      <c r="T207" s="109"/>
      <c r="CI207" s="67"/>
    </row>
    <row r="208" spans="1:87" ht="13" outlineLevel="1">
      <c r="A208" s="3"/>
      <c r="B208" s="9">
        <v>194</v>
      </c>
      <c r="C208" s="3"/>
      <c r="D208" s="3"/>
      <c r="E208" s="36" t="s">
        <v>128</v>
      </c>
      <c r="F208" s="47">
        <f>HLOOKUP($E$3,$M$3:$T$261,#REF!,FALSE)</f>
        <v>-0.38497554806290518</v>
      </c>
      <c r="G208" s="47">
        <f>LN(G154/G186)</f>
        <v>-0.38497554806290518</v>
      </c>
      <c r="H208" s="47">
        <f>LN(H154/H186)</f>
        <v>-0.38497554806290518</v>
      </c>
      <c r="I208" s="47">
        <f>LN(I154/I186)</f>
        <v>-0.38497554806290518</v>
      </c>
      <c r="J208" s="47">
        <f>LN(J154/J186)</f>
        <v>-0.38497554806290518</v>
      </c>
      <c r="K208" s="47">
        <f>LN(K154/K186)</f>
        <v>-0.38497554806290518</v>
      </c>
      <c r="L208" s="47">
        <f>LN(L154/L186)</f>
        <v>-0.38497554806290518</v>
      </c>
      <c r="M208" s="200"/>
      <c r="N208" s="110"/>
      <c r="O208" s="110"/>
      <c r="P208" s="110"/>
      <c r="Q208" s="110"/>
      <c r="R208" s="110"/>
      <c r="S208" s="109"/>
      <c r="T208" s="109"/>
      <c r="CI208" s="67"/>
    </row>
    <row r="209" spans="1:87" ht="13" outlineLevel="1">
      <c r="A209" s="3"/>
      <c r="B209" s="9">
        <v>195</v>
      </c>
      <c r="C209" s="3"/>
      <c r="D209" s="3"/>
      <c r="E209" s="36" t="s">
        <v>129</v>
      </c>
      <c r="F209" s="47">
        <f>HLOOKUP($E$3,$M$3:$T$261,#REF!,FALSE)</f>
        <v>-0.44538533007468006</v>
      </c>
      <c r="G209" s="47">
        <f>LN(G155/G187)</f>
        <v>-0.41367298773111738</v>
      </c>
      <c r="H209" s="47">
        <f>LN(H155/H187)</f>
        <v>-0.4158395982591791</v>
      </c>
      <c r="I209" s="47">
        <f>LN(I155/I187)</f>
        <v>-0.42226734576606451</v>
      </c>
      <c r="J209" s="47">
        <f>LN(J155/J187)</f>
        <v>-0.42226823804264219</v>
      </c>
      <c r="K209" s="47">
        <f>LN(K155/K187)</f>
        <v>-0.41878034568101602</v>
      </c>
      <c r="L209" s="47">
        <f>LN(L155/L187)</f>
        <v>-0.41614604055224519</v>
      </c>
      <c r="M209" s="200"/>
      <c r="N209" s="110"/>
      <c r="O209" s="110"/>
      <c r="P209" s="110"/>
      <c r="Q209" s="110"/>
      <c r="R209" s="110"/>
      <c r="S209" s="109"/>
      <c r="T209" s="109"/>
      <c r="CI209" s="67"/>
    </row>
    <row r="210" spans="1:87" ht="13" outlineLevel="1">
      <c r="A210" s="3"/>
      <c r="B210" s="9">
        <v>196</v>
      </c>
      <c r="C210" s="3"/>
      <c r="D210" s="3"/>
      <c r="E210" s="36" t="s">
        <v>130</v>
      </c>
      <c r="F210" s="47">
        <f>HLOOKUP($E$3,$M$3:$T$261,#REF!,FALSE)</f>
        <v>0.05104044204280489</v>
      </c>
      <c r="G210" s="47">
        <f>G206*G206/2</f>
        <v>0.080478504958249888</v>
      </c>
      <c r="H210" s="47">
        <f>H206*H206/2</f>
        <v>0.08942625573282835</v>
      </c>
      <c r="I210" s="47">
        <f>I206*I206/2</f>
        <v>0.089459287910783489</v>
      </c>
      <c r="J210" s="47">
        <f>J206*J206/2</f>
        <v>0.08974567061914332</v>
      </c>
      <c r="K210" s="47">
        <f>K206*K206/2</f>
        <v>0.090032715716504202</v>
      </c>
      <c r="L210" s="47">
        <f>L206*L206/2</f>
        <v>0.090320419978210706</v>
      </c>
      <c r="M210" s="200"/>
      <c r="N210" s="110"/>
      <c r="O210" s="110"/>
      <c r="P210" s="110"/>
      <c r="Q210" s="110"/>
      <c r="R210" s="110"/>
      <c r="S210" s="109"/>
      <c r="T210" s="109"/>
      <c r="CI210" s="67"/>
    </row>
    <row r="211" spans="1:87" ht="13" outlineLevel="1">
      <c r="A211" s="3"/>
      <c r="B211" s="9">
        <v>197</v>
      </c>
      <c r="C211" s="3"/>
      <c r="D211" s="3"/>
      <c r="E211" s="36" t="s">
        <v>131</v>
      </c>
      <c r="F211" s="47">
        <f>HLOOKUP($E$3,$M$3:$T$261,#REF!,FALSE)</f>
        <v>0.0023930318201855617</v>
      </c>
      <c r="G211" s="47">
        <f>G207*G207/2</f>
        <v>0.0013626131134109696</v>
      </c>
      <c r="H211" s="47">
        <f>H207*H207/2</f>
        <v>0.00075320160826908614</v>
      </c>
      <c r="I211" s="47">
        <f>I207*I207/2</f>
        <v>0.0002650554263863797</v>
      </c>
      <c r="J211" s="47">
        <f>J207*J207/2</f>
        <v>2.6098816244904237E-05</v>
      </c>
      <c r="K211" s="47">
        <f>K207*K207/2</f>
        <v>3.6665305524510478E-05</v>
      </c>
      <c r="L211" s="47">
        <f>L207*L207/2</f>
        <v>0.00029689197017192638</v>
      </c>
      <c r="M211" s="200"/>
      <c r="N211" s="110"/>
      <c r="O211" s="110"/>
      <c r="P211" s="110"/>
      <c r="Q211" s="110"/>
      <c r="R211" s="110"/>
      <c r="S211" s="109"/>
      <c r="T211" s="109"/>
      <c r="CI211" s="67"/>
    </row>
    <row r="212" spans="1:87" ht="13" outlineLevel="1">
      <c r="A212" s="3"/>
      <c r="B212" s="9">
        <v>198</v>
      </c>
      <c r="C212" s="3"/>
      <c r="D212" s="3"/>
      <c r="E212" s="36" t="s">
        <v>132</v>
      </c>
      <c r="F212" s="47">
        <f>HLOOKUP($E$3,$M$3:$T$261,#REF!,FALSE)</f>
        <v>0.074103086303167115</v>
      </c>
      <c r="G212" s="47">
        <f>G208*G208/2</f>
        <v>0.074103086303167115</v>
      </c>
      <c r="H212" s="47">
        <f>H208*H208/2</f>
        <v>0.074103086303167115</v>
      </c>
      <c r="I212" s="47">
        <f>I208*I208/2</f>
        <v>0.074103086303167115</v>
      </c>
      <c r="J212" s="47">
        <f>J208*J208/2</f>
        <v>0.074103086303167115</v>
      </c>
      <c r="K212" s="47">
        <f>K208*K208/2</f>
        <v>0.074103086303167115</v>
      </c>
      <c r="L212" s="47">
        <f>L208*L208/2</f>
        <v>0.074103086303167115</v>
      </c>
      <c r="M212" s="200"/>
      <c r="N212" s="110"/>
      <c r="O212" s="110"/>
      <c r="P212" s="110"/>
      <c r="Q212" s="110"/>
      <c r="R212" s="110"/>
      <c r="S212" s="109"/>
      <c r="T212" s="109"/>
      <c r="CI212" s="67"/>
    </row>
    <row r="213" spans="1:87" ht="13" outlineLevel="1">
      <c r="A213" s="3"/>
      <c r="B213" s="9">
        <v>199</v>
      </c>
      <c r="C213" s="3"/>
      <c r="D213" s="3"/>
      <c r="E213" s="36" t="s">
        <v>133</v>
      </c>
      <c r="F213" s="47">
        <f>HLOOKUP($E$3,$M$3:$T$261,#REF!,FALSE)</f>
        <v>0.099184046122865854</v>
      </c>
      <c r="G213" s="47">
        <f>G209*G209/2</f>
        <v>0.085562670389194601</v>
      </c>
      <c r="H213" s="47">
        <f>H209*H209/2</f>
        <v>0.086461285740177737</v>
      </c>
      <c r="I213" s="47">
        <f>I209*I209/2</f>
        <v>0.089154855650158543</v>
      </c>
      <c r="J213" s="47">
        <f>J209*J209/2</f>
        <v>0.089155232429818765</v>
      </c>
      <c r="K213" s="47">
        <f>K209*K209/2</f>
        <v>0.087688488964355632</v>
      </c>
      <c r="L213" s="47">
        <f>L209*L209/2</f>
        <v>0.086588763533655452</v>
      </c>
      <c r="M213" s="200"/>
      <c r="N213" s="110"/>
      <c r="O213" s="110"/>
      <c r="P213" s="110"/>
      <c r="Q213" s="110"/>
      <c r="R213" s="110"/>
      <c r="S213" s="109"/>
      <c r="T213" s="109"/>
      <c r="CI213" s="67"/>
    </row>
    <row r="214" spans="1:87" ht="13" outlineLevel="1">
      <c r="A214" s="3"/>
      <c r="B214" s="9">
        <v>200</v>
      </c>
      <c r="C214" s="3"/>
      <c r="D214" s="3"/>
      <c r="E214" s="36" t="s">
        <v>134</v>
      </c>
      <c r="F214" s="47">
        <f>HLOOKUP($E$3,$M$3:$T$261,#REF!,FALSE)</f>
        <v>0.022103520255811655</v>
      </c>
      <c r="G214" s="47">
        <f>G206*G207</f>
        <v>0.020943835962289336</v>
      </c>
      <c r="H214" s="47">
        <f>H206*H207</f>
        <v>0.016414140201600435</v>
      </c>
      <c r="I214" s="47">
        <f>I206*I207</f>
        <v>0.0097389259574995474</v>
      </c>
      <c r="J214" s="47">
        <f>J206*J207</f>
        <v>0.0030608859934762177</v>
      </c>
      <c r="K214" s="47">
        <f>K206*K207</f>
        <v>-0.0036337732614718948</v>
      </c>
      <c r="L214" s="47">
        <f>L206*L207</f>
        <v>-0.010356719062345332</v>
      </c>
      <c r="M214" s="200"/>
      <c r="N214" s="110"/>
      <c r="O214" s="110"/>
      <c r="P214" s="110"/>
      <c r="Q214" s="110"/>
      <c r="R214" s="110"/>
      <c r="S214" s="109"/>
      <c r="T214" s="109"/>
      <c r="CI214" s="67"/>
    </row>
    <row r="215" spans="1:87" ht="13" outlineLevel="1">
      <c r="A215" s="3"/>
      <c r="B215" s="9">
        <v>201</v>
      </c>
      <c r="C215" s="3"/>
      <c r="D215" s="3"/>
      <c r="E215" s="36" t="s">
        <v>135</v>
      </c>
      <c r="F215" s="47">
        <f>HLOOKUP($E$3,$M$3:$T$261,#REF!,FALSE)</f>
        <v>0.12300006962030176</v>
      </c>
      <c r="G215" s="47">
        <f>G206*G208</f>
        <v>0.15445006440233106</v>
      </c>
      <c r="H215" s="47">
        <f>H206*H208</f>
        <v>0.1628098467088385</v>
      </c>
      <c r="I215" s="47">
        <f>I206*I208</f>
        <v>0.16283991319910071</v>
      </c>
      <c r="J215" s="47">
        <f>J206*J208</f>
        <v>0.16310035162716219</v>
      </c>
      <c r="K215" s="47">
        <f>K206*K208</f>
        <v>0.1633609757910208</v>
      </c>
      <c r="L215" s="47">
        <f>L206*L208</f>
        <v>0.16362178188228665</v>
      </c>
      <c r="M215" s="200"/>
      <c r="N215" s="110"/>
      <c r="O215" s="110"/>
      <c r="P215" s="110"/>
      <c r="Q215" s="110"/>
      <c r="R215" s="110"/>
      <c r="S215" s="109"/>
      <c r="T215" s="109"/>
      <c r="CI215" s="67"/>
    </row>
    <row r="216" spans="1:87" ht="13" outlineLevel="1">
      <c r="A216" s="3"/>
      <c r="B216" s="9">
        <v>202</v>
      </c>
      <c r="C216" s="3"/>
      <c r="D216" s="3"/>
      <c r="E216" s="36" t="s">
        <v>136</v>
      </c>
      <c r="F216" s="47">
        <f>HLOOKUP($E$3,$M$3:$T$261,#REF!,FALSE)</f>
        <v>0.14230105491815612</v>
      </c>
      <c r="G216" s="47">
        <f>G206*G209</f>
        <v>0.1659633187563794</v>
      </c>
      <c r="H216" s="47">
        <f>H206*H209</f>
        <v>0.17586254916371796</v>
      </c>
      <c r="I216" s="47">
        <f>I206*I209</f>
        <v>0.17861388412160881</v>
      </c>
      <c r="J216" s="47">
        <f>J206*J209</f>
        <v>0.17889992871568933</v>
      </c>
      <c r="K216" s="47">
        <f>K206*K209</f>
        <v>0.17770574327846186</v>
      </c>
      <c r="L216" s="47">
        <f>L206*L209</f>
        <v>0.17686982204721907</v>
      </c>
      <c r="M216" s="200"/>
      <c r="N216" s="110"/>
      <c r="O216" s="110"/>
      <c r="P216" s="110"/>
      <c r="Q216" s="110"/>
      <c r="R216" s="110"/>
      <c r="S216" s="109"/>
      <c r="T216" s="109"/>
      <c r="CI216" s="67"/>
    </row>
    <row r="217" spans="1:87" ht="13" outlineLevel="1">
      <c r="A217" s="3"/>
      <c r="B217" s="9">
        <v>203</v>
      </c>
      <c r="C217" s="3"/>
      <c r="D217" s="3"/>
      <c r="E217" s="36" t="s">
        <v>137</v>
      </c>
      <c r="F217" s="47">
        <f>HLOOKUP($E$3,$M$3:$T$261,#REF!,FALSE)</f>
        <v>0.026633140520594692</v>
      </c>
      <c r="G217" s="47">
        <f>G207*G208</f>
        <v>0.020097147771852633</v>
      </c>
      <c r="H217" s="47">
        <f>H207*H208</f>
        <v>0.014941829042155229</v>
      </c>
      <c r="I217" s="47">
        <f>I207*I208</f>
        <v>0.0088637294942101319</v>
      </c>
      <c r="J217" s="47">
        <f>J207*J208</f>
        <v>0.0027813686074352954</v>
      </c>
      <c r="K217" s="47">
        <f>K207*K208</f>
        <v>-0.0032966724433069112</v>
      </c>
      <c r="L217" s="47">
        <f>L207*L208</f>
        <v>-0.0093809618458594261</v>
      </c>
      <c r="M217" s="200"/>
      <c r="N217" s="110"/>
      <c r="O217" s="110"/>
      <c r="P217" s="110"/>
      <c r="Q217" s="110"/>
      <c r="R217" s="110"/>
      <c r="S217" s="109"/>
      <c r="T217" s="109"/>
      <c r="CI217" s="67"/>
    </row>
    <row r="218" spans="1:87" ht="13" outlineLevel="1">
      <c r="A218" s="3"/>
      <c r="B218" s="9">
        <v>204</v>
      </c>
      <c r="C218" s="3"/>
      <c r="D218" s="3"/>
      <c r="E218" s="36" t="s">
        <v>138</v>
      </c>
      <c r="F218" s="47">
        <f>HLOOKUP($E$3,$M$3:$T$261,#REF!,FALSE)</f>
        <v>0.030812372737377455</v>
      </c>
      <c r="G218" s="47">
        <f>G207*G209</f>
        <v>0.021595260284680711</v>
      </c>
      <c r="H218" s="47">
        <f>H207*H209</f>
        <v>0.016139737231134203</v>
      </c>
      <c r="I218" s="47">
        <f>I207*I209</f>
        <v>0.0097223409277331779</v>
      </c>
      <c r="J218" s="47">
        <f>J207*J209</f>
        <v>0.0030508005693309858</v>
      </c>
      <c r="K218" s="47">
        <f>K207*K209</f>
        <v>-0.0035861540618667039</v>
      </c>
      <c r="L218" s="47">
        <f>L207*L209</f>
        <v>-0.010140514503763213</v>
      </c>
      <c r="M218" s="200"/>
      <c r="N218" s="110"/>
      <c r="O218" s="110"/>
      <c r="P218" s="110"/>
      <c r="Q218" s="110"/>
      <c r="R218" s="110"/>
      <c r="S218" s="109"/>
      <c r="T218" s="109"/>
      <c r="CI218" s="67"/>
    </row>
    <row r="219" spans="1:87" ht="13" outlineLevel="1">
      <c r="A219" s="3"/>
      <c r="B219" s="9">
        <v>205</v>
      </c>
      <c r="C219" s="3"/>
      <c r="D219" s="3"/>
      <c r="E219" s="36" t="s">
        <v>139</v>
      </c>
      <c r="F219" s="47">
        <f>HLOOKUP($E$3,$M$3:$T$261,#REF!,FALSE)</f>
        <v>0.1714624615446779</v>
      </c>
      <c r="G219" s="47">
        <f>G208*G209</f>
        <v>0.15925398517060638</v>
      </c>
      <c r="H219" s="47">
        <f>H208*H209</f>
        <v>0.16008807724608579</v>
      </c>
      <c r="I219" s="47">
        <f>I208*I209</f>
        <v>0.16256260286535898</v>
      </c>
      <c r="J219" s="47">
        <f>J208*J209</f>
        <v>0.16256294637002347</v>
      </c>
      <c r="K219" s="47">
        <f>K208*K209</f>
        <v>0.16122019309652202</v>
      </c>
      <c r="L219" s="47">
        <f>L208*L209</f>
        <v>0.16020605003580857</v>
      </c>
      <c r="M219" s="200"/>
      <c r="N219" s="110"/>
      <c r="O219" s="110"/>
      <c r="P219" s="110"/>
      <c r="Q219" s="110"/>
      <c r="R219" s="110"/>
      <c r="S219" s="109"/>
      <c r="T219" s="109"/>
      <c r="CI219" s="67"/>
    </row>
    <row r="220" spans="1:87" ht="13" outlineLevel="1">
      <c r="A220" s="3"/>
      <c r="B220" s="9">
        <v>206</v>
      </c>
      <c r="C220" s="3"/>
      <c r="D220" s="3"/>
      <c r="E220" s="36" t="s">
        <v>140</v>
      </c>
      <c r="F220" s="47">
        <f>HLOOKUP($E$3,$M$3:$T$261,#REF!,FALSE)</f>
        <v>-0.88402515152019945</v>
      </c>
      <c r="G220" s="47">
        <f>LN(G156/G198)</f>
        <v>-0.89085436415969232</v>
      </c>
      <c r="H220" s="47">
        <f>LN(H156/H198)</f>
        <v>-0.89686842419522084</v>
      </c>
      <c r="I220" s="47">
        <f>LN(I156/I198)</f>
        <v>-0.90220515170004567</v>
      </c>
      <c r="J220" s="47">
        <f>LN(J156/J198)</f>
        <v>-0.9069729379520618</v>
      </c>
      <c r="K220" s="47">
        <f>LN(K156/K198)</f>
        <v>-0.91149681604807031</v>
      </c>
      <c r="L220" s="47">
        <f>LN(L156/L198)</f>
        <v>-0.91578824143211712</v>
      </c>
      <c r="M220" s="200"/>
      <c r="N220" s="110"/>
      <c r="O220" s="110"/>
      <c r="P220" s="110"/>
      <c r="Q220" s="110"/>
      <c r="R220" s="110"/>
      <c r="S220" s="109"/>
      <c r="T220" s="109"/>
      <c r="CI220" s="67"/>
    </row>
    <row r="221" spans="1:87" ht="13" outlineLevel="1">
      <c r="A221" s="3"/>
      <c r="B221" s="9">
        <v>207</v>
      </c>
      <c r="C221" s="3"/>
      <c r="D221" s="3"/>
      <c r="E221" s="36" t="s">
        <v>141</v>
      </c>
      <c r="F221" s="30">
        <f>HLOOKUP($E$3,$M$3:$T$261,#REF!,FALSE)</f>
        <v>1.042936001787192</v>
      </c>
      <c r="G221" s="30">
        <f>G157/G199</f>
        <v>0.85559633007264502</v>
      </c>
      <c r="H221" s="30">
        <f>H157/H199</f>
        <v>0.86585346297927079</v>
      </c>
      <c r="I221" s="30">
        <f>I157/I199</f>
        <v>0.86585346297927079</v>
      </c>
      <c r="J221" s="30">
        <f>J157/J199</f>
        <v>0.86585346297927079</v>
      </c>
      <c r="K221" s="30">
        <f>K157/K199</f>
        <v>0.86585346297927079</v>
      </c>
      <c r="L221" s="30">
        <f>L157/L199</f>
        <v>0.86585346297927079</v>
      </c>
      <c r="M221" s="200"/>
      <c r="N221" s="110"/>
      <c r="O221" s="110"/>
      <c r="P221" s="110"/>
      <c r="Q221" s="110"/>
      <c r="R221" s="110"/>
      <c r="S221" s="109"/>
      <c r="T221" s="109"/>
      <c r="CI221" s="67"/>
    </row>
    <row r="222" spans="1:87" s="54" customFormat="1" ht="13" outlineLevel="1">
      <c r="A222" s="3"/>
      <c r="B222" s="9">
        <v>208</v>
      </c>
      <c r="E222" s="55" t="s">
        <v>142</v>
      </c>
      <c r="F222" s="47">
        <f>HLOOKUP($E$3,$M$3:$T$261,#REF!,FALSE)</f>
        <v>13</v>
      </c>
      <c r="G222" s="47">
        <f>G158</f>
        <v>14</v>
      </c>
      <c r="H222" s="47">
        <f>H158</f>
        <v>15</v>
      </c>
      <c r="I222" s="47">
        <f>I158</f>
        <v>16</v>
      </c>
      <c r="J222" s="47">
        <f>J158</f>
        <v>17</v>
      </c>
      <c r="K222" s="47">
        <f>K158</f>
        <v>18</v>
      </c>
      <c r="L222" s="47">
        <f>L158</f>
        <v>19</v>
      </c>
      <c r="M222" s="200"/>
      <c r="N222" s="110"/>
      <c r="O222" s="110"/>
      <c r="P222" s="110"/>
      <c r="Q222" s="110"/>
      <c r="R222" s="110"/>
      <c r="S222" s="113"/>
      <c r="T222" s="113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4"/>
      <c r="BN222" s="54"/>
      <c r="BO222" s="54"/>
      <c r="BP222" s="54"/>
      <c r="BQ222" s="54"/>
      <c r="BR222" s="54"/>
      <c r="BS222" s="54"/>
      <c r="BT222" s="54"/>
      <c r="BU222" s="54"/>
      <c r="BV222" s="54"/>
      <c r="BW222" s="54"/>
      <c r="BX222" s="54"/>
      <c r="BY222" s="54"/>
      <c r="BZ222" s="54"/>
      <c r="CA222" s="54"/>
      <c r="CB222" s="54"/>
      <c r="CC222" s="54"/>
      <c r="CD222" s="54"/>
      <c r="CE222" s="54"/>
      <c r="CF222" s="54"/>
      <c r="CG222" s="54"/>
      <c r="CH222" s="54"/>
      <c r="CI222" s="232"/>
    </row>
    <row r="223" spans="1:87" ht="13" outlineLevel="1">
      <c r="A223" s="3"/>
      <c r="B223" s="9">
        <v>209</v>
      </c>
      <c r="C223" s="3"/>
      <c r="D223" s="3"/>
      <c r="E223" s="36"/>
      <c r="L223" s="89"/>
      <c r="M223" s="200"/>
      <c r="N223" s="110"/>
      <c r="O223" s="110"/>
      <c r="P223" s="110"/>
      <c r="Q223" s="110"/>
      <c r="R223" s="110"/>
      <c r="S223" s="109"/>
      <c r="T223" s="109"/>
      <c r="CI223" s="67"/>
    </row>
    <row r="224" spans="1:87" ht="13" outlineLevel="1">
      <c r="A224" s="3"/>
      <c r="B224" s="9">
        <v>210</v>
      </c>
      <c r="C224" s="27" t="s">
        <v>146</v>
      </c>
      <c r="D224" s="27"/>
      <c r="E224" s="36"/>
      <c r="L224" s="89"/>
      <c r="M224" s="200"/>
      <c r="N224" s="110"/>
      <c r="O224" s="110"/>
      <c r="P224" s="110"/>
      <c r="Q224" s="110"/>
      <c r="R224" s="110"/>
      <c r="S224" s="109"/>
      <c r="T224" s="109"/>
      <c r="CI224" s="67"/>
    </row>
    <row r="225" spans="1:87" ht="13" outlineLevel="1">
      <c r="A225" s="3"/>
      <c r="B225" s="9">
        <v>211</v>
      </c>
      <c r="C225" s="3"/>
      <c r="D225" s="3"/>
      <c r="E225" s="36"/>
      <c r="L225" s="89"/>
      <c r="M225" s="200"/>
      <c r="N225" s="110"/>
      <c r="O225" s="110"/>
      <c r="P225" s="110"/>
      <c r="Q225" s="110"/>
      <c r="R225" s="110"/>
      <c r="S225" s="109"/>
      <c r="T225" s="109"/>
      <c r="CI225" s="67"/>
    </row>
    <row r="226" spans="1:87" ht="13" outlineLevel="1">
      <c r="A226" s="3"/>
      <c r="B226" s="9">
        <v>212</v>
      </c>
      <c r="C226" s="3"/>
      <c r="D226" s="3"/>
      <c r="E226" s="36" t="s">
        <v>125</v>
      </c>
      <c r="F226" s="49">
        <f>HLOOKUP($E$3,$M$3:$T$261,#REF!,FALSE)</f>
        <v>12.819457458886518</v>
      </c>
      <c r="G226" s="49">
        <f>G162*G205</f>
        <v>12.819457458886518</v>
      </c>
      <c r="H226" s="49">
        <f>H162*H205</f>
        <v>12.819457458886518</v>
      </c>
      <c r="I226" s="49">
        <f>I162*I205</f>
        <v>12.819457458886518</v>
      </c>
      <c r="J226" s="49">
        <f>J162*J205</f>
        <v>12.819457458886518</v>
      </c>
      <c r="K226" s="49">
        <f>K162*K205</f>
        <v>12.819457458886518</v>
      </c>
      <c r="L226" s="49">
        <f>L162*L205</f>
        <v>12.819457458886518</v>
      </c>
      <c r="M226" s="200"/>
      <c r="N226" s="110"/>
      <c r="O226" s="110"/>
      <c r="P226" s="110"/>
      <c r="Q226" s="110"/>
      <c r="R226" s="110"/>
      <c r="S226" s="109"/>
      <c r="T226" s="109"/>
      <c r="CI226" s="67"/>
    </row>
    <row r="227" spans="1:87" ht="13" outlineLevel="1">
      <c r="A227" s="3"/>
      <c r="B227" s="9">
        <v>213</v>
      </c>
      <c r="C227" s="3"/>
      <c r="D227" s="3"/>
      <c r="E227" s="36" t="s">
        <v>126</v>
      </c>
      <c r="F227" s="49">
        <f>HLOOKUP($E$3,$M$3:$T$261,#REF!,FALSE)</f>
        <v>-0.20029295135102745</v>
      </c>
      <c r="G227" s="49">
        <f>G163*G206</f>
        <v>-0.25150603028921492</v>
      </c>
      <c r="H227" s="49">
        <f>H163*H206</f>
        <v>-0.2651190751922895</v>
      </c>
      <c r="I227" s="49">
        <f>I163*I206</f>
        <v>-0.26516803537653966</v>
      </c>
      <c r="J227" s="49">
        <f>J163*J206</f>
        <v>-0.26559213254626224</v>
      </c>
      <c r="K227" s="49">
        <f>K163*K206</f>
        <v>-0.26601653216761029</v>
      </c>
      <c r="L227" s="49">
        <f>L163*L206</f>
        <v>-0.26644122803901277</v>
      </c>
      <c r="M227" s="200"/>
      <c r="N227" s="110"/>
      <c r="O227" s="110"/>
      <c r="P227" s="110"/>
      <c r="Q227" s="110"/>
      <c r="R227" s="110"/>
      <c r="S227" s="109"/>
      <c r="T227" s="109"/>
      <c r="CI227" s="67"/>
    </row>
    <row r="228" spans="1:87" ht="13" outlineLevel="1">
      <c r="A228" s="3"/>
      <c r="B228" s="9">
        <v>214</v>
      </c>
      <c r="C228" s="3"/>
      <c r="D228" s="3"/>
      <c r="E228" s="36" t="s">
        <v>127</v>
      </c>
      <c r="F228" s="49">
        <f>HLOOKUP($E$3,$M$3:$T$261,#REF!,FALSE)</f>
        <v>-0.031603701546482732</v>
      </c>
      <c r="G228" s="49">
        <f>G164*G207</f>
        <v>-0.023847892051110195</v>
      </c>
      <c r="H228" s="49">
        <f>H164*H207</f>
        <v>-0.017730432700630589</v>
      </c>
      <c r="I228" s="49">
        <f>I164*I207</f>
        <v>-0.010517973323767768</v>
      </c>
      <c r="J228" s="49">
        <f>J164*J207</f>
        <v>-0.0033004573115276983</v>
      </c>
      <c r="K228" s="49">
        <f>K164*K207</f>
        <v>0.0039119326507597021</v>
      </c>
      <c r="L228" s="49">
        <f>L164*L207</f>
        <v>0.011131737098981187</v>
      </c>
      <c r="M228" s="200"/>
      <c r="N228" s="110"/>
      <c r="O228" s="110"/>
      <c r="P228" s="110"/>
      <c r="Q228" s="110"/>
      <c r="R228" s="110"/>
      <c r="S228" s="109"/>
      <c r="T228" s="109"/>
      <c r="CI228" s="67"/>
    </row>
    <row r="229" spans="1:87" ht="13" outlineLevel="1">
      <c r="A229" s="3"/>
      <c r="B229" s="9">
        <v>215</v>
      </c>
      <c r="C229" s="3"/>
      <c r="D229" s="3"/>
      <c r="E229" s="36" t="s">
        <v>128</v>
      </c>
      <c r="F229" s="49">
        <f>HLOOKUP($E$3,$M$3:$T$261,#REF!,FALSE)</f>
        <v>-0.058121447996123232</v>
      </c>
      <c r="G229" s="49">
        <f>G165*G208</f>
        <v>-0.058121447996123232</v>
      </c>
      <c r="H229" s="49">
        <f>H165*H208</f>
        <v>-0.058121447996123232</v>
      </c>
      <c r="I229" s="49">
        <f>I165*I208</f>
        <v>-0.058121447996123232</v>
      </c>
      <c r="J229" s="49">
        <f>J165*J208</f>
        <v>-0.058121447996123232</v>
      </c>
      <c r="K229" s="49">
        <f>K165*K208</f>
        <v>-0.058121447996123232</v>
      </c>
      <c r="L229" s="49">
        <f>L165*L208</f>
        <v>-0.058121447996123232</v>
      </c>
      <c r="M229" s="200"/>
      <c r="N229" s="110"/>
      <c r="O229" s="110"/>
      <c r="P229" s="110"/>
      <c r="Q229" s="110"/>
      <c r="R229" s="110"/>
      <c r="S229" s="109"/>
      <c r="T229" s="109"/>
      <c r="CI229" s="67"/>
    </row>
    <row r="230" spans="1:87" ht="13" outlineLevel="1">
      <c r="A230" s="3"/>
      <c r="B230" s="9">
        <v>216</v>
      </c>
      <c r="C230" s="3"/>
      <c r="D230" s="3"/>
      <c r="E230" s="36" t="s">
        <v>129</v>
      </c>
      <c r="F230" s="49">
        <f>HLOOKUP($E$3,$M$3:$T$261,#REF!,FALSE)</f>
        <v>-0.046823536350385928</v>
      </c>
      <c r="G230" s="49">
        <f>G166*G209</f>
        <v>-0.043489605225553611</v>
      </c>
      <c r="H230" s="49">
        <f>H166*H209</f>
        <v>-0.043717381849450981</v>
      </c>
      <c r="I230" s="49">
        <f>I166*I209</f>
        <v>-0.044393133493514529</v>
      </c>
      <c r="J230" s="49">
        <f>J166*J209</f>
        <v>-0.044393227298904936</v>
      </c>
      <c r="K230" s="49">
        <f>K166*K209</f>
        <v>-0.044026543791943783</v>
      </c>
      <c r="L230" s="49">
        <f>L166*L209</f>
        <v>-0.043749598249228382</v>
      </c>
      <c r="M230" s="200"/>
      <c r="N230" s="110"/>
      <c r="O230" s="110"/>
      <c r="P230" s="110"/>
      <c r="Q230" s="110"/>
      <c r="R230" s="110"/>
      <c r="S230" s="109"/>
      <c r="T230" s="109"/>
      <c r="CI230" s="67"/>
    </row>
    <row r="231" spans="1:87" ht="13" outlineLevel="1">
      <c r="A231" s="3"/>
      <c r="B231" s="9">
        <v>217</v>
      </c>
      <c r="C231" s="3"/>
      <c r="D231" s="3"/>
      <c r="E231" s="36" t="s">
        <v>130</v>
      </c>
      <c r="F231" s="49">
        <f>HLOOKUP($E$3,$M$3:$T$261,#REF!,FALSE)</f>
        <v>0.0063852656801561217</v>
      </c>
      <c r="G231" s="49">
        <f>G167*G210</f>
        <v>0.010068028706907092</v>
      </c>
      <c r="H231" s="49">
        <f>H167*H210</f>
        <v>0.011187410978079258</v>
      </c>
      <c r="I231" s="49">
        <f>I167*I210</f>
        <v>0.011191543372388478</v>
      </c>
      <c r="J231" s="49">
        <f>J167*J210</f>
        <v>0.011227370446094983</v>
      </c>
      <c r="K231" s="49">
        <f>K167*K210</f>
        <v>0.011263280386046098</v>
      </c>
      <c r="L231" s="49">
        <f>L167*L210</f>
        <v>0.011299272788830708</v>
      </c>
      <c r="M231" s="200"/>
      <c r="N231" s="110"/>
      <c r="O231" s="110"/>
      <c r="P231" s="110"/>
      <c r="Q231" s="110"/>
      <c r="R231" s="110"/>
      <c r="S231" s="109"/>
      <c r="T231" s="109"/>
      <c r="CI231" s="67"/>
    </row>
    <row r="232" spans="1:87" ht="13" outlineLevel="1">
      <c r="A232" s="3"/>
      <c r="B232" s="9">
        <v>218</v>
      </c>
      <c r="C232" s="3"/>
      <c r="D232" s="3"/>
      <c r="E232" s="36" t="s">
        <v>131</v>
      </c>
      <c r="F232" s="49">
        <f>HLOOKUP($E$3,$M$3:$T$261,#REF!,FALSE)</f>
        <v>-0.00097154110503708431</v>
      </c>
      <c r="G232" s="49">
        <f>G168*G211</f>
        <v>-0.00055320394771794627</v>
      </c>
      <c r="H232" s="49">
        <f>H168*H211</f>
        <v>-0.00030579046907813957</v>
      </c>
      <c r="I232" s="49">
        <f>I168*I211</f>
        <v>-0.00010760920087871241</v>
      </c>
      <c r="J232" s="49">
        <f>J168*J211</f>
        <v>-1.0595794239279231E-05</v>
      </c>
      <c r="K232" s="49">
        <f>K168*K211</f>
        <v>-1.4885657242553095E-05</v>
      </c>
      <c r="L232" s="49">
        <f>L168*L211</f>
        <v>-0.0001205344410151236</v>
      </c>
      <c r="M232" s="200"/>
      <c r="N232" s="110"/>
      <c r="O232" s="110"/>
      <c r="P232" s="110"/>
      <c r="Q232" s="110"/>
      <c r="R232" s="110"/>
      <c r="S232" s="109"/>
      <c r="T232" s="109"/>
      <c r="CI232" s="67"/>
    </row>
    <row r="233" spans="1:87" ht="13" outlineLevel="1">
      <c r="A233" s="3"/>
      <c r="B233" s="9">
        <v>219</v>
      </c>
      <c r="C233" s="3"/>
      <c r="D233" s="3"/>
      <c r="E233" s="36" t="s">
        <v>132</v>
      </c>
      <c r="F233" s="49">
        <f>HLOOKUP($E$3,$M$3:$T$261,#REF!,FALSE)</f>
        <v>0.013782453990718086</v>
      </c>
      <c r="G233" s="49">
        <f>G169*G212</f>
        <v>0.013782453990718086</v>
      </c>
      <c r="H233" s="49">
        <f>H169*H212</f>
        <v>0.013782453990718086</v>
      </c>
      <c r="I233" s="49">
        <f>I169*I212</f>
        <v>0.013782453990718086</v>
      </c>
      <c r="J233" s="49">
        <f>J169*J212</f>
        <v>0.013782453990718086</v>
      </c>
      <c r="K233" s="49">
        <f>K169*K212</f>
        <v>0.013782453990718086</v>
      </c>
      <c r="L233" s="49">
        <f>L169*L212</f>
        <v>0.013782453990718086</v>
      </c>
      <c r="M233" s="200"/>
      <c r="N233" s="110"/>
      <c r="O233" s="110"/>
      <c r="P233" s="110"/>
      <c r="Q233" s="110"/>
      <c r="R233" s="110"/>
      <c r="S233" s="109"/>
      <c r="T233" s="109"/>
      <c r="CI233" s="67"/>
    </row>
    <row r="234" spans="1:87" ht="13" outlineLevel="1">
      <c r="A234" s="3"/>
      <c r="B234" s="9">
        <v>220</v>
      </c>
      <c r="C234" s="3"/>
      <c r="D234" s="3"/>
      <c r="E234" s="36" t="s">
        <v>133</v>
      </c>
      <c r="F234" s="49">
        <f>HLOOKUP($E$3,$M$3:$T$261,#REF!,FALSE)</f>
        <v>0.015588656757084986</v>
      </c>
      <c r="G234" s="49">
        <f>G170*G213</f>
        <v>0.013447798835152163</v>
      </c>
      <c r="H234" s="49">
        <f>H170*H213</f>
        <v>0.013589033305923509</v>
      </c>
      <c r="I234" s="49">
        <f>I170*I213</f>
        <v>0.014012378979136802</v>
      </c>
      <c r="J234" s="49">
        <f>J170*J213</f>
        <v>0.014012438197216986</v>
      </c>
      <c r="K234" s="49">
        <f>K170*K213</f>
        <v>0.01378191160218901</v>
      </c>
      <c r="L234" s="49">
        <f>L170*L213</f>
        <v>0.013609068862490872</v>
      </c>
      <c r="M234" s="200"/>
      <c r="N234" s="110"/>
      <c r="O234" s="110"/>
      <c r="P234" s="110"/>
      <c r="Q234" s="110"/>
      <c r="R234" s="110"/>
      <c r="S234" s="109"/>
      <c r="T234" s="109"/>
      <c r="CI234" s="67"/>
    </row>
    <row r="235" spans="1:87" ht="13" outlineLevel="1">
      <c r="A235" s="3"/>
      <c r="B235" s="9">
        <v>221</v>
      </c>
      <c r="C235" s="3"/>
      <c r="D235" s="3"/>
      <c r="E235" s="36" t="s">
        <v>134</v>
      </c>
      <c r="F235" s="49">
        <f>HLOOKUP($E$3,$M$3:$T$261,#REF!,FALSE)</f>
        <v>0.0011764764292637646</v>
      </c>
      <c r="G235" s="49">
        <f>G171*G214</f>
        <v>0.0011147513637119241</v>
      </c>
      <c r="H235" s="49">
        <f>H171*H214</f>
        <v>0.00087365491244483146</v>
      </c>
      <c r="I235" s="49">
        <f>I171*I214</f>
        <v>0.00051836163211743246</v>
      </c>
      <c r="J235" s="49">
        <f>J171*J214</f>
        <v>0.00016291795072966031</v>
      </c>
      <c r="K235" s="49">
        <f>K171*K214</f>
        <v>-0.00019341030487153127</v>
      </c>
      <c r="L235" s="49">
        <f>L171*L214</f>
        <v>-0.00055124413307660171</v>
      </c>
      <c r="M235" s="200"/>
      <c r="N235" s="110"/>
      <c r="O235" s="110"/>
      <c r="P235" s="110"/>
      <c r="Q235" s="110"/>
      <c r="R235" s="110"/>
      <c r="S235" s="109"/>
      <c r="T235" s="109"/>
      <c r="CI235" s="67"/>
    </row>
    <row r="236" spans="1:87" ht="13" outlineLevel="1">
      <c r="A236" s="3"/>
      <c r="B236" s="9">
        <v>222</v>
      </c>
      <c r="C236" s="3"/>
      <c r="D236" s="3"/>
      <c r="E236" s="36" t="s">
        <v>135</v>
      </c>
      <c r="F236" s="49">
        <f>HLOOKUP($E$3,$M$3:$T$261,#REF!,FALSE)</f>
        <v>0.0012479135605445251</v>
      </c>
      <c r="G236" s="49">
        <f>G172*G215</f>
        <v>0.001566993664228231</v>
      </c>
      <c r="H236" s="49">
        <f>H172*H215</f>
        <v>0.0016518089471438833</v>
      </c>
      <c r="I236" s="49">
        <f>I172*I215</f>
        <v>0.0016521139907185089</v>
      </c>
      <c r="J236" s="49">
        <f>J172*J215</f>
        <v>0.0016547563034185594</v>
      </c>
      <c r="K236" s="49">
        <f>K172*K215</f>
        <v>0.0016574005005258355</v>
      </c>
      <c r="L236" s="49">
        <f>L172*L215</f>
        <v>0.0016600465434018108</v>
      </c>
      <c r="M236" s="200"/>
      <c r="N236" s="110"/>
      <c r="O236" s="110"/>
      <c r="P236" s="110"/>
      <c r="Q236" s="110"/>
      <c r="R236" s="110"/>
      <c r="S236" s="109"/>
      <c r="T236" s="109"/>
      <c r="CI236" s="67"/>
    </row>
    <row r="237" spans="1:87" ht="13" outlineLevel="1">
      <c r="A237" s="3"/>
      <c r="B237" s="9">
        <v>223</v>
      </c>
      <c r="C237" s="3"/>
      <c r="D237" s="3"/>
      <c r="E237" s="36" t="s">
        <v>136</v>
      </c>
      <c r="F237" s="49">
        <f>HLOOKUP($E$3,$M$3:$T$261,#REF!,FALSE)</f>
        <v>5.6797408748394019E-06</v>
      </c>
      <c r="G237" s="49">
        <f>G173*G216</f>
        <v>6.6241859261462115E-06</v>
      </c>
      <c r="H237" s="49">
        <f>H173*H216</f>
        <v>7.0192993960101667E-06</v>
      </c>
      <c r="I237" s="49">
        <f>I173*I216</f>
        <v>7.1291149531028031E-06</v>
      </c>
      <c r="J237" s="49">
        <f>J173*J216</f>
        <v>7.1405320095256128E-06</v>
      </c>
      <c r="K237" s="49">
        <f>K173*K216</f>
        <v>7.0928678242962071E-06</v>
      </c>
      <c r="L237" s="49">
        <f>L173*L216</f>
        <v>7.0595032368870241E-06</v>
      </c>
      <c r="M237" s="200"/>
      <c r="N237" s="110"/>
      <c r="O237" s="110"/>
      <c r="P237" s="110"/>
      <c r="Q237" s="110"/>
      <c r="R237" s="110"/>
      <c r="S237" s="109"/>
      <c r="T237" s="109"/>
      <c r="CI237" s="67"/>
    </row>
    <row r="238" spans="1:87" ht="13" outlineLevel="1">
      <c r="A238" s="3"/>
      <c r="B238" s="9">
        <v>224</v>
      </c>
      <c r="C238" s="3"/>
      <c r="D238" s="3"/>
      <c r="E238" s="36" t="s">
        <v>137</v>
      </c>
      <c r="F238" s="49">
        <f>HLOOKUP($E$3,$M$3:$T$261,#REF!,FALSE)</f>
        <v>0.0040787549442820523</v>
      </c>
      <c r="G238" s="49">
        <f>G174*G217</f>
        <v>0.0030777947789155666</v>
      </c>
      <c r="H238" s="49">
        <f>H174*H217</f>
        <v>0.0022882791098248964</v>
      </c>
      <c r="I238" s="49">
        <f>I174*I217</f>
        <v>0.0013574433879223555</v>
      </c>
      <c r="J238" s="49">
        <f>J174*J217</f>
        <v>0.00042595505966242262</v>
      </c>
      <c r="K238" s="49">
        <f>K174*K217</f>
        <v>-0.00050487170363625652</v>
      </c>
      <c r="L238" s="49">
        <f>L174*L217</f>
        <v>-0.0014366553760842792</v>
      </c>
      <c r="M238" s="200"/>
      <c r="N238" s="110"/>
      <c r="O238" s="110"/>
      <c r="P238" s="110"/>
      <c r="Q238" s="110"/>
      <c r="R238" s="110"/>
      <c r="S238" s="109"/>
      <c r="T238" s="109"/>
      <c r="CI238" s="67"/>
    </row>
    <row r="239" spans="1:87" ht="13" outlineLevel="1">
      <c r="A239" s="3"/>
      <c r="B239" s="9">
        <v>225</v>
      </c>
      <c r="C239" s="3"/>
      <c r="D239" s="3"/>
      <c r="E239" s="36" t="s">
        <v>138</v>
      </c>
      <c r="F239" s="49">
        <f>HLOOKUP($E$3,$M$3:$T$261,#REF!,FALSE)</f>
        <v>0.0026566138489100342</v>
      </c>
      <c r="G239" s="49">
        <f>G175*G218</f>
        <v>0.0018619230668174306</v>
      </c>
      <c r="H239" s="49">
        <f>H175*H218</f>
        <v>0.0013915529911134466</v>
      </c>
      <c r="I239" s="49">
        <f>I175*I218</f>
        <v>0.00083825110687139968</v>
      </c>
      <c r="J239" s="49">
        <f>J175*J218</f>
        <v>0.00026303716081285921</v>
      </c>
      <c r="K239" s="49">
        <f>K175*K218</f>
        <v>-0.00030919483631726744</v>
      </c>
      <c r="L239" s="49">
        <f>L175*L218</f>
        <v>-0.00087430563999023336</v>
      </c>
      <c r="M239" s="200"/>
      <c r="N239" s="110"/>
      <c r="O239" s="110"/>
      <c r="P239" s="110"/>
      <c r="Q239" s="110"/>
      <c r="R239" s="110"/>
      <c r="S239" s="109"/>
      <c r="T239" s="109"/>
      <c r="CI239" s="67"/>
    </row>
    <row r="240" spans="1:87" ht="13" outlineLevel="1">
      <c r="A240" s="3"/>
      <c r="B240" s="9">
        <v>226</v>
      </c>
      <c r="C240" s="3"/>
      <c r="D240" s="3"/>
      <c r="E240" s="36" t="s">
        <v>139</v>
      </c>
      <c r="F240" s="49">
        <f>HLOOKUP($E$3,$M$3:$T$261,#REF!,FALSE)</f>
        <v>-0.035826807300885763</v>
      </c>
      <c r="G240" s="49">
        <f>G176*G219</f>
        <v>-0.033275865674649359</v>
      </c>
      <c r="H240" s="49">
        <f>H176*H219</f>
        <v>-0.03345014788073801</v>
      </c>
      <c r="I240" s="49">
        <f>I176*I219</f>
        <v>-0.033967196053989068</v>
      </c>
      <c r="J240" s="49">
        <f>J176*J219</f>
        <v>-0.033967267828739711</v>
      </c>
      <c r="K240" s="49">
        <f>K176*K219</f>
        <v>-0.03368670167828914</v>
      </c>
      <c r="L240" s="49">
        <f>L176*L219</f>
        <v>-0.033474798106601263</v>
      </c>
      <c r="M240" s="200"/>
      <c r="N240" s="110"/>
      <c r="O240" s="110"/>
      <c r="P240" s="110"/>
      <c r="Q240" s="110"/>
      <c r="R240" s="110"/>
      <c r="S240" s="109"/>
      <c r="T240" s="109"/>
      <c r="CI240" s="67"/>
    </row>
    <row r="241" spans="1:87" ht="13" outlineLevel="1">
      <c r="A241" s="3"/>
      <c r="B241" s="9">
        <v>227</v>
      </c>
      <c r="C241" s="3"/>
      <c r="D241" s="3"/>
      <c r="E241" s="36" t="s">
        <v>140</v>
      </c>
      <c r="F241" s="49">
        <f>HLOOKUP($E$3,$M$3:$T$261,#REF!,FALSE)</f>
        <v>-0.2516399009294627</v>
      </c>
      <c r="G241" s="49">
        <f>G177*G220</f>
        <v>-0.25358385285104895</v>
      </c>
      <c r="H241" s="49">
        <f>H177*H220</f>
        <v>-0.25529576960921102</v>
      </c>
      <c r="I241" s="49">
        <f>I177*I220</f>
        <v>-0.25681488202167163</v>
      </c>
      <c r="J241" s="49">
        <f>J177*J220</f>
        <v>-0.25817204392826104</v>
      </c>
      <c r="K241" s="49">
        <f>K177*K220</f>
        <v>-0.25945977678737592</v>
      </c>
      <c r="L241" s="49">
        <f>L177*L220</f>
        <v>-0.26068134141891464</v>
      </c>
      <c r="M241" s="200"/>
      <c r="N241" s="110"/>
      <c r="O241" s="110"/>
      <c r="P241" s="110"/>
      <c r="Q241" s="110"/>
      <c r="R241" s="110"/>
      <c r="S241" s="109"/>
      <c r="T241" s="109"/>
      <c r="CI241" s="67"/>
    </row>
    <row r="242" spans="1:87" ht="13" outlineLevel="1">
      <c r="A242" s="3"/>
      <c r="B242" s="9">
        <v>228</v>
      </c>
      <c r="C242" s="3"/>
      <c r="D242" s="3"/>
      <c r="E242" s="36" t="s">
        <v>141</v>
      </c>
      <c r="F242" s="49">
        <f>HLOOKUP($E$3,$M$3:$T$261,#REF!,FALSE)</f>
        <v>0.016652532989093388</v>
      </c>
      <c r="G242" s="49">
        <f>G178*G221</f>
        <v>0.013661285148337594</v>
      </c>
      <c r="H242" s="49">
        <f>H178*H221</f>
        <v>0.013825060532261827</v>
      </c>
      <c r="I242" s="49">
        <f>I178*I221</f>
        <v>0.013825060532261827</v>
      </c>
      <c r="J242" s="49">
        <f>J178*J221</f>
        <v>0.013825060532261827</v>
      </c>
      <c r="K242" s="49">
        <f>K178*K221</f>
        <v>0.013825060532261827</v>
      </c>
      <c r="L242" s="49">
        <f>L178*L221</f>
        <v>0.013825060532261827</v>
      </c>
      <c r="M242" s="200"/>
      <c r="N242" s="110"/>
      <c r="O242" s="110"/>
      <c r="P242" s="110"/>
      <c r="Q242" s="110"/>
      <c r="R242" s="110"/>
      <c r="S242" s="109"/>
      <c r="T242" s="109"/>
      <c r="CI242" s="67"/>
    </row>
    <row r="243" spans="1:87" ht="13" outlineLevel="1">
      <c r="A243" s="3"/>
      <c r="B243" s="9">
        <v>229</v>
      </c>
      <c r="C243" s="3"/>
      <c r="D243" s="3"/>
      <c r="E243" s="36" t="s">
        <v>142</v>
      </c>
      <c r="F243" s="49">
        <f>HLOOKUP($E$3,$M$3:$T$261,#REF!,FALSE)</f>
        <v>0.22038815166906828</v>
      </c>
      <c r="G243" s="49">
        <f>G179*G222</f>
        <v>0.23734108641284274</v>
      </c>
      <c r="H243" s="49">
        <f>H179*H222</f>
        <v>0.25429402115661726</v>
      </c>
      <c r="I243" s="49">
        <f>I179*I222</f>
        <v>0.27124695590039172</v>
      </c>
      <c r="J243" s="49">
        <f>J179*J222</f>
        <v>0.28819989064416618</v>
      </c>
      <c r="K243" s="49">
        <f>K179*K222</f>
        <v>0.3051528253879407</v>
      </c>
      <c r="L243" s="49">
        <f>L179*L222</f>
        <v>0.32210576013171516</v>
      </c>
      <c r="M243" s="200"/>
      <c r="N243" s="110"/>
      <c r="O243" s="110"/>
      <c r="P243" s="110"/>
      <c r="Q243" s="110"/>
      <c r="R243" s="110"/>
      <c r="S243" s="109"/>
      <c r="T243" s="109"/>
      <c r="CI243" s="67"/>
    </row>
    <row r="244" spans="1:87" ht="13" outlineLevel="1">
      <c r="A244" s="3"/>
      <c r="B244" s="9">
        <v>230</v>
      </c>
      <c r="C244" s="3"/>
      <c r="D244" s="3"/>
      <c r="E244" s="36"/>
      <c r="G244" s="3"/>
      <c r="H244" s="3"/>
      <c r="I244" s="3"/>
      <c r="J244" s="3"/>
      <c r="K244" s="3"/>
      <c r="L244" s="3"/>
      <c r="M244" s="200"/>
      <c r="N244" s="110"/>
      <c r="O244" s="110"/>
      <c r="P244" s="110"/>
      <c r="Q244" s="110"/>
      <c r="R244" s="110"/>
      <c r="S244" s="109"/>
      <c r="T244" s="109"/>
      <c r="CI244" s="67"/>
    </row>
    <row r="245" spans="1:87" ht="13" outlineLevel="1">
      <c r="A245" s="3"/>
      <c r="B245" s="9">
        <v>231</v>
      </c>
      <c r="C245" s="3"/>
      <c r="D245" s="3"/>
      <c r="E245" s="36" t="s">
        <v>147</v>
      </c>
      <c r="F245" s="43">
        <f>HLOOKUP($E$3,$M$3:$T$261,#REF!,FALSE)</f>
        <v>12.476140071917106</v>
      </c>
      <c r="G245" s="43">
        <f>SUM(G226:G243)</f>
        <v>12.451008301004656</v>
      </c>
      <c r="H245" s="43">
        <f>SUM(H226:H243)</f>
        <v>12.458607708412522</v>
      </c>
      <c r="I245" s="43">
        <f>SUM(I226:I243)</f>
        <v>12.478798873427515</v>
      </c>
      <c r="J245" s="43">
        <f>SUM(J226:J243)</f>
        <v>12.499461306999555</v>
      </c>
      <c r="K245" s="43">
        <f>SUM(K226:K243)</f>
        <v>12.520506051881371</v>
      </c>
      <c r="L245" s="43">
        <f>SUM(L226:L243)</f>
        <v>12.541426764938111</v>
      </c>
      <c r="M245" s="200"/>
      <c r="N245" s="110"/>
      <c r="O245" s="110"/>
      <c r="P245" s="110"/>
      <c r="Q245" s="110"/>
      <c r="R245" s="110"/>
      <c r="S245" s="109"/>
      <c r="T245" s="109"/>
      <c r="CI245" s="67"/>
    </row>
    <row r="246" spans="1:87" ht="13" outlineLevel="1">
      <c r="A246" s="3"/>
      <c r="B246" s="9">
        <v>232</v>
      </c>
      <c r="C246" s="3"/>
      <c r="D246" s="3"/>
      <c r="E246" s="36" t="s">
        <v>148</v>
      </c>
      <c r="F246" s="7">
        <f>HLOOKUP($E$3,$M$3:$T$261,#REF!,FALSE)</f>
        <v>262010.55597619887</v>
      </c>
      <c r="G246" s="7">
        <f>EXP(G245)</f>
        <v>255507.82158249107</v>
      </c>
      <c r="H246" s="7">
        <f>EXP(H245)</f>
        <v>257456.92625461641</v>
      </c>
      <c r="I246" s="7">
        <f>EXP(I245)</f>
        <v>262708.11696534249</v>
      </c>
      <c r="J246" s="7">
        <f>EXP(J245)</f>
        <v>268192.77403029543</v>
      </c>
      <c r="K246" s="7">
        <f>EXP(K245)</f>
        <v>273896.63012774271</v>
      </c>
      <c r="L246" s="7">
        <f>EXP(L245)</f>
        <v>279687.1021411221</v>
      </c>
      <c r="M246" s="200"/>
      <c r="N246" s="110"/>
      <c r="O246" s="110"/>
      <c r="P246" s="110"/>
      <c r="Q246" s="110"/>
      <c r="R246" s="110"/>
      <c r="S246" s="109"/>
      <c r="T246" s="109"/>
      <c r="CI246" s="67"/>
    </row>
    <row r="247" spans="1:87" ht="13" outlineLevel="1">
      <c r="A247" s="3"/>
      <c r="B247" s="9">
        <v>233</v>
      </c>
      <c r="C247" s="3"/>
      <c r="D247" s="3"/>
      <c r="E247" s="36" t="s">
        <v>149</v>
      </c>
      <c r="F247" s="28">
        <f>HLOOKUP($E$3,$M$3:$T$261,#REF!,FALSE)</f>
        <v>152.32375585085606</v>
      </c>
      <c r="G247" s="20">
        <f>G137</f>
        <v>157.59508918745888</v>
      </c>
      <c r="H247" s="20">
        <f>H137</f>
        <v>159.05179877964241</v>
      </c>
      <c r="I247" s="20">
        <f>I137</f>
        <v>162.27753158680523</v>
      </c>
      <c r="J247" s="20">
        <f>J137</f>
        <v>165.66779260433481</v>
      </c>
      <c r="K247" s="20">
        <f>K137</f>
        <v>169.12896369303692</v>
      </c>
      <c r="L247" s="20">
        <f>L137</f>
        <v>172.66252798963134</v>
      </c>
      <c r="M247" s="200"/>
      <c r="N247" s="110"/>
      <c r="O247" s="110"/>
      <c r="P247" s="110"/>
      <c r="Q247" s="110"/>
      <c r="R247" s="110"/>
      <c r="S247" s="109"/>
      <c r="T247" s="109"/>
      <c r="CI247" s="67"/>
    </row>
    <row r="248" spans="1:87" ht="13">
      <c r="A248" s="3"/>
      <c r="B248" s="9">
        <v>234</v>
      </c>
      <c r="C248" s="3"/>
      <c r="D248" s="3"/>
      <c r="E248" s="56" t="s">
        <v>150</v>
      </c>
      <c r="F248" s="7">
        <f>HLOOKUP($E$3,$M$3:$T$261,#REF!,FALSE)</f>
        <v>39910431.958865568</v>
      </c>
      <c r="G248" s="7">
        <f>G246*G247</f>
        <v>40266777.930386014</v>
      </c>
      <c r="H248" s="7">
        <f>H246*H247</f>
        <v>40948987.229074486</v>
      </c>
      <c r="I248" s="7">
        <f>I246*I247</f>
        <v>42631624.748953484</v>
      </c>
      <c r="J248" s="7">
        <f>J246*J247</f>
        <v>44430904.866032213</v>
      </c>
      <c r="K248" s="7">
        <f>K246*K247</f>
        <v>46323853.21252016</v>
      </c>
      <c r="L248" s="7">
        <f>L246*L247</f>
        <v>48291482.101780377</v>
      </c>
      <c r="M248" s="200"/>
      <c r="N248" s="110"/>
      <c r="O248" s="110"/>
      <c r="P248" s="110"/>
      <c r="Q248" s="110"/>
      <c r="R248" s="110"/>
      <c r="S248" s="109"/>
      <c r="T248" s="109"/>
      <c r="CI248" s="67"/>
    </row>
    <row r="249" spans="1:87" ht="13">
      <c r="A249" s="3"/>
      <c r="B249" s="9">
        <v>235</v>
      </c>
      <c r="C249" s="3"/>
      <c r="D249" s="3"/>
      <c r="L249" s="89"/>
      <c r="M249" s="200"/>
      <c r="N249" s="110"/>
      <c r="O249" s="110"/>
      <c r="P249" s="110"/>
      <c r="Q249" s="110"/>
      <c r="R249" s="110"/>
      <c r="S249" s="109"/>
      <c r="T249" s="109"/>
      <c r="CI249" s="67"/>
    </row>
    <row r="250" spans="1:87" ht="13">
      <c r="A250" s="3"/>
      <c r="B250" s="9">
        <v>236</v>
      </c>
      <c r="C250" s="3"/>
      <c r="D250" s="3"/>
      <c r="E250" s="36"/>
      <c r="L250" s="89"/>
      <c r="M250" s="200"/>
      <c r="N250" s="110"/>
      <c r="O250" s="110"/>
      <c r="P250" s="110"/>
      <c r="Q250" s="110"/>
      <c r="R250" s="110"/>
      <c r="S250" s="109"/>
      <c r="T250" s="109"/>
      <c r="CI250" s="67"/>
    </row>
    <row r="251" spans="1:87" ht="13">
      <c r="A251" s="3"/>
      <c r="B251" s="3"/>
      <c r="C251" s="3"/>
      <c r="D251" s="3"/>
      <c r="E251" s="36"/>
      <c r="L251" s="89"/>
      <c r="M251" s="200"/>
      <c r="N251" s="110"/>
      <c r="O251" s="110"/>
      <c r="P251" s="110"/>
      <c r="Q251" s="110"/>
      <c r="R251" s="110"/>
      <c r="S251" s="109"/>
      <c r="T251" s="109"/>
      <c r="CI251" s="67"/>
    </row>
    <row r="252" spans="1:87" ht="13">
      <c r="A252" s="3"/>
      <c r="B252" s="3"/>
      <c r="C252" s="3"/>
      <c r="D252" s="3"/>
      <c r="E252" s="36"/>
      <c r="M252" s="200"/>
      <c r="N252" s="110"/>
      <c r="O252" s="110"/>
      <c r="P252" s="110"/>
      <c r="Q252" s="110"/>
      <c r="R252" s="110"/>
      <c r="S252" s="109"/>
      <c r="T252" s="109"/>
      <c r="CI252" s="67"/>
    </row>
    <row r="253" spans="1:87" s="3" customFormat="1" ht="13.5" thickBot="1">
      <c r="A253" s="281" t="s">
        <v>151</v>
      </c>
      <c r="B253" s="281"/>
      <c r="C253" s="281"/>
      <c r="D253" s="281"/>
      <c r="E253" s="281"/>
      <c r="F253" s="281"/>
      <c r="G253" s="281"/>
      <c r="H253" s="281"/>
      <c r="I253" s="281"/>
      <c r="J253" s="281"/>
      <c r="K253" s="281"/>
      <c r="L253" s="7"/>
      <c r="M253" s="200"/>
      <c r="N253" s="110"/>
      <c r="O253" s="110"/>
      <c r="P253" s="110"/>
      <c r="Q253" s="110"/>
      <c r="R253" s="110"/>
      <c r="S253" s="96"/>
      <c r="T253" s="96"/>
      <c r="U253" s="7"/>
      <c r="V253" s="7"/>
      <c r="W253" s="7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67"/>
    </row>
    <row r="254" spans="1:87" s="3" customFormat="1" ht="13.5" thickTop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7"/>
      <c r="M254" s="200"/>
      <c r="N254" s="110"/>
      <c r="O254" s="110"/>
      <c r="P254" s="110"/>
      <c r="Q254" s="110"/>
      <c r="R254" s="110"/>
      <c r="S254" s="96"/>
      <c r="T254" s="96"/>
      <c r="U254" s="7"/>
      <c r="V254" s="7"/>
      <c r="W254" s="7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67"/>
    </row>
    <row r="255" spans="1:87" s="3" customFormat="1" ht="13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7"/>
      <c r="M255" s="200"/>
      <c r="N255" s="110"/>
      <c r="O255" s="110"/>
      <c r="P255" s="110"/>
      <c r="Q255" s="110"/>
      <c r="R255" s="110"/>
      <c r="S255" s="96"/>
      <c r="T255" s="96"/>
      <c r="U255" s="7"/>
      <c r="V255" s="7"/>
      <c r="W255" s="7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67"/>
    </row>
    <row r="256" spans="1:87" s="3" customFormat="1" ht="13">
      <c r="A256" s="37"/>
      <c r="B256" s="37">
        <v>237</v>
      </c>
      <c r="C256" s="58" t="s">
        <v>94</v>
      </c>
      <c r="D256" s="37"/>
      <c r="E256" s="37"/>
      <c r="F256" s="59">
        <f>F121</f>
        <v>35391376.690868944</v>
      </c>
      <c r="G256" s="59">
        <f>G121</f>
        <v>35820116.585089669</v>
      </c>
      <c r="H256" s="59">
        <f>H121</f>
        <v>36334308.320118479</v>
      </c>
      <c r="I256" s="59">
        <f>I121</f>
        <v>37514260.822577626</v>
      </c>
      <c r="J256" s="59">
        <f>J121</f>
        <v>38647239.670567617</v>
      </c>
      <c r="K256" s="59">
        <f>K121</f>
        <v>39742040.51152464</v>
      </c>
      <c r="L256" s="59">
        <f>L121</f>
        <v>26154535.843643796</v>
      </c>
      <c r="M256" s="200"/>
      <c r="N256" s="110"/>
      <c r="O256" s="110"/>
      <c r="P256" s="110"/>
      <c r="Q256" s="110"/>
      <c r="R256" s="110"/>
      <c r="S256" s="96"/>
      <c r="T256" s="96"/>
      <c r="U256" s="7"/>
      <c r="V256" s="7"/>
      <c r="W256" s="7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67"/>
    </row>
    <row r="257" spans="1:87" s="3" customFormat="1" ht="13">
      <c r="A257" s="37"/>
      <c r="B257" s="37">
        <v>238</v>
      </c>
      <c r="C257" s="58" t="s">
        <v>109</v>
      </c>
      <c r="D257" s="37"/>
      <c r="E257" s="37"/>
      <c r="F257" s="59">
        <f>F248</f>
        <v>39910431.958865568</v>
      </c>
      <c r="G257" s="59">
        <f>G248</f>
        <v>40266777.930386014</v>
      </c>
      <c r="H257" s="59">
        <f>H248</f>
        <v>40948987.229074486</v>
      </c>
      <c r="I257" s="59">
        <f>I248</f>
        <v>42631624.748953484</v>
      </c>
      <c r="J257" s="59">
        <f>J248</f>
        <v>44430904.866032213</v>
      </c>
      <c r="K257" s="59">
        <f>K248</f>
        <v>46323853.21252016</v>
      </c>
      <c r="L257" s="59">
        <f>L248</f>
        <v>48291482.101780377</v>
      </c>
      <c r="M257" s="200"/>
      <c r="N257" s="110"/>
      <c r="O257" s="110"/>
      <c r="P257" s="110"/>
      <c r="Q257" s="110"/>
      <c r="R257" s="110"/>
      <c r="S257" s="96"/>
      <c r="T257" s="96"/>
      <c r="U257" s="7"/>
      <c r="V257" s="7"/>
      <c r="W257" s="7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67"/>
    </row>
    <row r="258" spans="1:87" s="3" customFormat="1" ht="13">
      <c r="A258" s="37"/>
      <c r="B258" s="37">
        <v>239</v>
      </c>
      <c r="C258" s="3" t="s">
        <v>152</v>
      </c>
      <c r="E258" s="36"/>
      <c r="F258" s="24">
        <f>F256-F257</f>
        <v>-4519055.2679966241</v>
      </c>
      <c r="G258" s="24">
        <f>G256-G257</f>
        <v>-4446661.3452963457</v>
      </c>
      <c r="H258" s="24">
        <f>H256-H257</f>
        <v>-4614678.9089560062</v>
      </c>
      <c r="I258" s="24">
        <f>I256-I257</f>
        <v>-5117363.9263758585</v>
      </c>
      <c r="J258" s="24">
        <f>J256-J257</f>
        <v>-5783665.1954645962</v>
      </c>
      <c r="K258" s="24">
        <f>K256-K257</f>
        <v>-6581812.7009955198</v>
      </c>
      <c r="L258" s="24">
        <f>L256-L257</f>
        <v>-22136946.258136582</v>
      </c>
      <c r="M258" s="200"/>
      <c r="N258" s="110"/>
      <c r="O258" s="110"/>
      <c r="P258" s="110"/>
      <c r="Q258" s="110"/>
      <c r="R258" s="110"/>
      <c r="S258" s="96"/>
      <c r="T258" s="96"/>
      <c r="U258" s="7"/>
      <c r="V258" s="7"/>
      <c r="W258" s="7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67"/>
    </row>
    <row r="259" spans="1:87" s="3" customFormat="1" ht="13">
      <c r="A259" s="37"/>
      <c r="B259" s="37">
        <v>240</v>
      </c>
      <c r="C259" s="3" t="s">
        <v>153</v>
      </c>
      <c r="F259" s="60">
        <f>F258/F257</f>
        <v>-0.11322992626725446</v>
      </c>
      <c r="G259" s="60">
        <f>G258/G257</f>
        <v>-0.11043002628578377</v>
      </c>
      <c r="H259" s="60">
        <f>H258/H257</f>
        <v>-0.11269335876711267</v>
      </c>
      <c r="I259" s="60">
        <f>I258/I257</f>
        <v>-0.12003680264382791</v>
      </c>
      <c r="J259" s="60">
        <f>J258/J257</f>
        <v>-0.13017212260032668</v>
      </c>
      <c r="K259" s="60">
        <f>K258/K257</f>
        <v>-0.14208258261246332</v>
      </c>
      <c r="L259" s="60">
        <f>L258/L257</f>
        <v>-0.45840270985015907</v>
      </c>
      <c r="M259" s="200"/>
      <c r="N259" s="110"/>
      <c r="O259" s="110"/>
      <c r="P259" s="110"/>
      <c r="Q259" s="110"/>
      <c r="R259" s="110"/>
      <c r="S259" s="96"/>
      <c r="T259" s="96"/>
      <c r="U259" s="7"/>
      <c r="V259" s="7"/>
      <c r="W259" s="7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67"/>
    </row>
    <row r="260" spans="1:87" ht="13.5" thickBot="1">
      <c r="A260" s="3"/>
      <c r="B260" s="37">
        <v>241</v>
      </c>
      <c r="L260" s="89"/>
      <c r="M260" s="200"/>
      <c r="N260" s="110"/>
      <c r="O260" s="110"/>
      <c r="P260" s="110"/>
      <c r="Q260" s="110"/>
      <c r="R260" s="110"/>
      <c r="S260" s="109"/>
      <c r="T260" s="109"/>
      <c r="CI260" s="67"/>
    </row>
    <row r="261" spans="1:87" s="198" customFormat="1" ht="13.5" thickBot="1">
      <c r="A261" s="29"/>
      <c r="B261" s="37">
        <v>242</v>
      </c>
      <c r="C261" s="196" t="s">
        <v>154</v>
      </c>
      <c r="D261" s="197"/>
      <c r="E261" s="197"/>
      <c r="F261" s="61">
        <f>LN(F256/F257)</f>
        <v>-0.12016954816399628</v>
      </c>
      <c r="G261" s="61">
        <f>LN(G256/G257)</f>
        <v>-0.11701710862490113</v>
      </c>
      <c r="H261" s="61">
        <f>LN(H256/H257)</f>
        <v>-0.11956465040283824</v>
      </c>
      <c r="I261" s="61">
        <f>LN(I256/I257)</f>
        <v>-0.12787519357058313</v>
      </c>
      <c r="J261" s="61">
        <f>LN(J256/J257)</f>
        <v>-0.13945992897617246</v>
      </c>
      <c r="K261" s="61">
        <f>LN(K256/K257)</f>
        <v>-0.15324743425759202</v>
      </c>
      <c r="L261" s="61">
        <f>LN(L256/L257)</f>
        <v>-0.61323256081268762</v>
      </c>
      <c r="M261" s="201"/>
      <c r="N261" s="193"/>
      <c r="O261" s="193"/>
      <c r="P261" s="193"/>
      <c r="Q261" s="193"/>
      <c r="R261" s="193"/>
      <c r="S261" s="161"/>
      <c r="T261" s="161"/>
      <c r="U261" s="198"/>
      <c r="V261" s="198"/>
      <c r="W261" s="198"/>
      <c r="X261" s="198"/>
      <c r="Y261" s="198"/>
      <c r="Z261" s="198"/>
      <c r="AA261" s="198"/>
      <c r="AB261" s="198"/>
      <c r="AC261" s="198"/>
      <c r="AD261" s="198"/>
      <c r="AE261" s="198"/>
      <c r="AF261" s="198"/>
      <c r="AG261" s="198"/>
      <c r="AH261" s="198"/>
      <c r="AI261" s="198"/>
      <c r="AJ261" s="198"/>
      <c r="AK261" s="198"/>
      <c r="AL261" s="198"/>
      <c r="AM261" s="198"/>
      <c r="AN261" s="198"/>
      <c r="AO261" s="198"/>
      <c r="AP261" s="198"/>
      <c r="AQ261" s="198"/>
      <c r="AR261" s="198"/>
      <c r="AS261" s="198"/>
      <c r="AT261" s="198"/>
      <c r="AU261" s="198"/>
      <c r="AV261" s="198"/>
      <c r="AW261" s="198"/>
      <c r="AX261" s="198"/>
      <c r="AY261" s="198"/>
      <c r="AZ261" s="198"/>
      <c r="BA261" s="198"/>
      <c r="BB261" s="198"/>
      <c r="BC261" s="198"/>
      <c r="BD261" s="198"/>
      <c r="BE261" s="198"/>
      <c r="BF261" s="198"/>
      <c r="BG261" s="198"/>
      <c r="BH261" s="198"/>
      <c r="BI261" s="198"/>
      <c r="BJ261" s="198"/>
      <c r="BK261" s="198"/>
      <c r="BL261" s="198"/>
      <c r="BM261" s="198"/>
      <c r="BN261" s="198"/>
      <c r="BO261" s="198"/>
      <c r="BP261" s="198"/>
      <c r="BQ261" s="198"/>
      <c r="BR261" s="198"/>
      <c r="BS261" s="198"/>
      <c r="BT261" s="198"/>
      <c r="BU261" s="198"/>
      <c r="BV261" s="198"/>
      <c r="BW261" s="198"/>
      <c r="BX261" s="198"/>
      <c r="BY261" s="198"/>
      <c r="BZ261" s="198"/>
      <c r="CA261" s="198"/>
      <c r="CB261" s="198"/>
      <c r="CC261" s="198"/>
      <c r="CD261" s="198"/>
      <c r="CE261" s="198"/>
      <c r="CF261" s="198"/>
      <c r="CG261" s="198"/>
      <c r="CH261" s="198"/>
      <c r="CI261" s="233"/>
    </row>
    <row r="262" ht="13"/>
    <row r="263" spans="5:20" s="67" customFormat="1" ht="13">
      <c r="E263" s="66"/>
      <c r="M263" s="109"/>
      <c r="N263" s="109"/>
      <c r="O263" s="109"/>
      <c r="P263" s="109"/>
      <c r="Q263" s="109"/>
      <c r="R263" s="109"/>
      <c r="S263" s="109"/>
      <c r="T263" s="109"/>
    </row>
    <row r="264" spans="13:31" ht="13"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</row>
    <row r="265" spans="6:6" ht="13">
      <c r="F265" s="39"/>
    </row>
    <row r="266" ht="13"/>
    <row r="267" ht="13"/>
    <row r="268" ht="13"/>
    <row r="269" ht="13"/>
    <row r="270" ht="13"/>
    <row r="271" ht="13"/>
  </sheetData>
  <mergeCells count="7">
    <mergeCell ref="A102:K102"/>
    <mergeCell ref="A123:K123"/>
    <mergeCell ref="A253:K253"/>
    <mergeCell ref="A1:J1"/>
    <mergeCell ref="B3:C3"/>
    <mergeCell ref="A7:K7"/>
    <mergeCell ref="G4:L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C2:Q29"/>
  <sheetViews>
    <sheetView workbookViewId="0" topLeftCell="A1">
      <selection pane="topLeft" activeCell="H22" sqref="H22"/>
    </sheetView>
  </sheetViews>
  <sheetFormatPr defaultRowHeight="13.5"/>
  <cols>
    <col min="3" max="3" width="3.14285714285714" customWidth="1"/>
    <col min="4" max="4" width="4.57142857142857" customWidth="1"/>
    <col min="5" max="5" width="45.5714285714286" customWidth="1"/>
    <col min="6" max="10" width="13.5714285714286" bestFit="1" customWidth="1"/>
    <col min="11" max="11" width="13.7142857142857" customWidth="1"/>
    <col min="12" max="13" width="9.28571428571429" bestFit="1" customWidth="1"/>
  </cols>
  <sheetData>
    <row r="2" spans="3:11" ht="25.5">
      <c r="C2" s="282" t="s">
        <v>164</v>
      </c>
      <c r="D2" s="282"/>
      <c r="E2" s="282"/>
      <c r="F2" s="282"/>
      <c r="G2" s="282"/>
      <c r="H2" s="282"/>
      <c r="I2" s="282"/>
      <c r="J2" s="282"/>
      <c r="K2" s="282"/>
    </row>
    <row r="3" spans="3:11" s="89" customFormat="1" ht="23.25" customHeight="1">
      <c r="C3" s="288" t="str">
        <f>'Model Inputs'!F5</f>
        <v>Oshawa PUC Networks Inc.</v>
      </c>
      <c r="D3" s="288"/>
      <c r="E3" s="288"/>
      <c r="F3" s="288"/>
      <c r="G3" s="288"/>
      <c r="H3" s="288"/>
      <c r="I3" s="288"/>
      <c r="J3" s="288"/>
      <c r="K3" s="288"/>
    </row>
    <row r="4" spans="3:11" s="89" customFormat="1" ht="16.5">
      <c r="C4" s="86"/>
      <c r="D4" s="86"/>
      <c r="E4" s="86"/>
      <c r="F4" s="86"/>
      <c r="G4" s="86"/>
      <c r="H4" s="86"/>
      <c r="I4" s="86"/>
      <c r="J4" s="86"/>
      <c r="K4" s="86"/>
    </row>
    <row r="5" ht="13"/>
    <row r="6" spans="6:14" ht="13">
      <c r="F6" s="2">
        <f>'Benchmarking Calculations'!F5</f>
        <v>2019</v>
      </c>
      <c r="G6" s="2">
        <f>F6+1</f>
        <v>2020</v>
      </c>
      <c r="H6" s="2">
        <f t="shared" si="0" ref="H6:K6">G6+1</f>
        <v>2021</v>
      </c>
      <c r="I6" s="2">
        <f>H6+1</f>
        <v>2022</v>
      </c>
      <c r="J6" s="2">
        <f>I6+1</f>
        <v>2023</v>
      </c>
      <c r="K6" s="2">
        <f>J6+1</f>
        <v>2024</v>
      </c>
      <c r="L6" s="2"/>
      <c r="M6" s="2"/>
      <c r="N6" s="2"/>
    </row>
    <row r="7" spans="6:15" ht="13">
      <c r="F7" s="13" t="s">
        <v>181</v>
      </c>
      <c r="G7" s="13" t="s">
        <v>182</v>
      </c>
      <c r="H7" s="13" t="s">
        <v>183</v>
      </c>
      <c r="I7" s="25"/>
      <c r="J7" s="25"/>
      <c r="K7" s="25"/>
      <c r="L7" s="25"/>
      <c r="M7" s="25"/>
      <c r="N7" s="25"/>
      <c r="O7" s="25"/>
    </row>
    <row r="8" spans="3:15" ht="13">
      <c r="C8" s="10" t="s">
        <v>159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6:15" ht="13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4:17" ht="18.75" customHeight="1">
      <c r="D10" t="s">
        <v>158</v>
      </c>
      <c r="F10" s="83">
        <f>'Benchmarking Calculations'!F121</f>
        <v>35391376.690868944</v>
      </c>
      <c r="G10" s="83">
        <f>'Benchmarking Calculations'!G121</f>
        <v>35820116.585089669</v>
      </c>
      <c r="H10" s="83">
        <f>'Benchmarking Calculations'!H121</f>
        <v>36334308.320118479</v>
      </c>
      <c r="I10" s="88">
        <f>IF(ISNUMBER(I12),'Benchmarking Calculations'!I121,"na")</f>
        <v>37514260.822577626</v>
      </c>
      <c r="J10" s="88">
        <f>IF(ISNUMBER(J12),'Benchmarking Calculations'!J121,"na")</f>
        <v>38647239.670567617</v>
      </c>
      <c r="K10" s="88">
        <f>IF(ISNUMBER(K12),'Benchmarking Calculations'!K121,"na")</f>
        <v>39742040.51152464</v>
      </c>
      <c r="L10" s="83"/>
      <c r="M10" s="83"/>
      <c r="N10" s="83"/>
      <c r="O10" s="83"/>
      <c r="P10" s="23"/>
      <c r="Q10" s="23"/>
    </row>
    <row r="11" spans="6:17" ht="18.75" customHeight="1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4:17" ht="18.75" customHeight="1">
      <c r="D12" t="s">
        <v>150</v>
      </c>
      <c r="F12" s="83">
        <f>'Benchmarking Calculations'!F257</f>
        <v>39910431.958865568</v>
      </c>
      <c r="G12" s="83">
        <f>'Benchmarking Calculations'!G257</f>
        <v>40266777.930386014</v>
      </c>
      <c r="H12" s="83">
        <f>'Benchmarking Calculations'!H257</f>
        <v>40948987.229074486</v>
      </c>
      <c r="I12" s="88">
        <f>IF(ISNUMBER('Benchmarking Calculations'!I257),'Benchmarking Calculations'!I257,"na")</f>
        <v>42631624.748953484</v>
      </c>
      <c r="J12" s="88">
        <f>IF(ISNUMBER('Benchmarking Calculations'!J257),'Benchmarking Calculations'!J257,"na")</f>
        <v>44430904.866032213</v>
      </c>
      <c r="K12" s="88">
        <f>IF(ISNUMBER('Benchmarking Calculations'!K257),'Benchmarking Calculations'!K257,"na")</f>
        <v>46323853.21252016</v>
      </c>
      <c r="L12" s="83"/>
      <c r="M12" s="83"/>
      <c r="N12" s="83"/>
      <c r="O12" s="83"/>
      <c r="P12" s="23"/>
      <c r="Q12" s="23"/>
    </row>
    <row r="13" spans="6:17" ht="18.75" customHeight="1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4:17" ht="18.75" customHeight="1">
      <c r="D14" t="s">
        <v>156</v>
      </c>
      <c r="F14" s="83">
        <f t="shared" si="1" ref="F14:H14">F10-F12</f>
        <v>-4519055.2679966241</v>
      </c>
      <c r="G14" s="83">
        <f>G10-G12</f>
        <v>-4446661.3452963457</v>
      </c>
      <c r="H14" s="83">
        <f>H10-H12</f>
        <v>-4614678.9089560062</v>
      </c>
      <c r="I14" s="88">
        <f>IF(ISNUMBER(I12),I10-I12,"na")</f>
        <v>-5117363.9263758585</v>
      </c>
      <c r="J14" s="88">
        <f t="shared" si="2" ref="J14:K14">IF(ISNUMBER(J12),J10-J12,"na")</f>
        <v>-5783665.1954645962</v>
      </c>
      <c r="K14" s="88">
        <f>IF(ISNUMBER(K12),K10-K12,"na")</f>
        <v>-6581812.7009955198</v>
      </c>
      <c r="L14" s="83"/>
      <c r="M14" s="83"/>
      <c r="N14" s="83"/>
      <c r="O14" s="83"/>
      <c r="P14" s="23"/>
      <c r="Q14" s="23"/>
    </row>
    <row r="15" spans="6:17" ht="18.75" customHeight="1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4:15" ht="18.75" customHeight="1">
      <c r="D16" s="10" t="s">
        <v>180</v>
      </c>
      <c r="E16" s="10"/>
      <c r="F16" s="186">
        <f>LN(F10/F12)</f>
        <v>-0.12016954816399628</v>
      </c>
      <c r="G16" s="186">
        <f t="shared" si="3" ref="G16:H16">LN(G10/G12)</f>
        <v>-0.11701710862490113</v>
      </c>
      <c r="H16" s="186">
        <f>LN(H10/H12)</f>
        <v>-0.11956465040283824</v>
      </c>
      <c r="I16" s="128">
        <f>IF(ISNUMBER(I14),LN(I10/I12),"na")</f>
        <v>-0.12787519357058313</v>
      </c>
      <c r="J16" s="128">
        <f t="shared" si="4" ref="J16:K16">IF(ISNUMBER(J14),LN(J10/J12),"na")</f>
        <v>-0.13945992897617246</v>
      </c>
      <c r="K16" s="128">
        <f>IF(ISNUMBER(K14),LN(K10/K12),"na")</f>
        <v>-0.15324743425759202</v>
      </c>
      <c r="L16" s="25"/>
      <c r="M16" s="25"/>
      <c r="N16" s="25"/>
      <c r="O16" s="25"/>
    </row>
    <row r="17" spans="6:15" ht="18.75" customHeight="1">
      <c r="F17" s="147"/>
      <c r="G17" s="147"/>
      <c r="H17" s="147"/>
      <c r="I17" s="85"/>
      <c r="J17" s="85"/>
      <c r="K17" s="85"/>
      <c r="L17" s="25"/>
      <c r="M17" s="25"/>
      <c r="N17" s="25"/>
      <c r="O17" s="25"/>
    </row>
    <row r="18" spans="4:15" ht="18.75" customHeight="1">
      <c r="D18" t="s">
        <v>177</v>
      </c>
      <c r="F18" s="148"/>
      <c r="G18" s="148"/>
      <c r="H18" s="148">
        <f>AVERAGE(F16:H16)</f>
        <v>-0.11891710239724522</v>
      </c>
      <c r="I18" s="63">
        <f>IF(ISNUMBER(I16),AVERAGE(G16:I16),"na")</f>
        <v>-0.12148565086610751</v>
      </c>
      <c r="J18" s="63">
        <f t="shared" si="5" ref="J18:K18">IF(ISNUMBER(J16),AVERAGE(H16:J16),"na")</f>
        <v>-0.12896659098319796</v>
      </c>
      <c r="K18" s="63">
        <f>IF(ISNUMBER(K16),AVERAGE(I16:K16),"na")</f>
        <v>-0.14019418560144922</v>
      </c>
      <c r="L18" s="25"/>
      <c r="M18" s="25"/>
      <c r="N18" s="25"/>
      <c r="O18" s="25"/>
    </row>
    <row r="19" spans="6:15" ht="18.75" customHeight="1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>
      <c r="D20" t="s">
        <v>157</v>
      </c>
      <c r="F20" s="116"/>
      <c r="G20" s="36"/>
      <c r="H20" s="36"/>
      <c r="I20" s="36"/>
      <c r="J20" s="36"/>
      <c r="K20" s="36"/>
      <c r="L20" s="25"/>
      <c r="M20" s="25"/>
      <c r="N20" s="25"/>
      <c r="O20" s="25"/>
    </row>
    <row r="21" ht="13"/>
    <row r="22" spans="5:11" ht="14.5">
      <c r="E22" t="s">
        <v>178</v>
      </c>
      <c r="F22" s="129">
        <f>IF(F16&lt;-0.25,1,IF(F16&lt;-0.1,2,IF(F16&lt;0.1,3,IF(F16&lt;0.25,4,5))))</f>
        <v>2</v>
      </c>
      <c r="G22" s="129">
        <f t="shared" si="6" ref="G22">IF(G16&lt;-0.25,1,IF(G16&lt;-0.1,2,IF(G16&lt;0.1,3,IF(G16&lt;0.25,4,5))))</f>
        <v>2</v>
      </c>
      <c r="H22" s="129">
        <f>IF($H$16&lt;-0.25,1,IF($H$16&lt;-0.1,2,IF($H$16&lt;0.1,3,IF($H$16&lt;0.25,4,5))))</f>
        <v>2</v>
      </c>
      <c r="I22" s="129">
        <f>IF(ISNUMBER(I16),IF(I16&lt;-0.25,1,IF(I16&lt;-0.1,2,IF(I16&lt;0.1,3,IF(I16&lt;0.25,4,5)))),"na")</f>
        <v>2</v>
      </c>
      <c r="J22" s="129">
        <f t="shared" si="7" ref="J22:K22">IF(ISNUMBER(J16),IF(J16&lt;-0.25,1,IF(J16&lt;-0.1,2,IF(J16&lt;0.1,3,IF(J16&lt;0.25,4,5)))),"na")</f>
        <v>2</v>
      </c>
      <c r="K22" s="129">
        <f>IF(ISNUMBER(K16),IF(K16&lt;-0.25,1,IF(K16&lt;-0.1,2,IF(K16&lt;0.1,3,IF(K16&lt;0.25,4,5)))),"na")</f>
        <v>2</v>
      </c>
    </row>
    <row r="23" ht="13"/>
    <row r="24" spans="5:11" ht="14.5">
      <c r="E24" t="s">
        <v>155</v>
      </c>
      <c r="H24" s="129">
        <f>IF(H$18&lt;-0.25,1,IF(H$18&lt;-0.1,2,IF(H$18&lt;0.1,3,IF(H$18&lt;0.25,4,5))))</f>
        <v>2</v>
      </c>
      <c r="I24" s="129">
        <f t="shared" si="8" ref="I24:K24">IF(I$18&lt;-0.25,1,IF(I$18&lt;-0.1,2,IF(I$18&lt;0.1,3,IF(I$18&lt;0.25,4,5))))</f>
        <v>2</v>
      </c>
      <c r="J24" s="129">
        <f>IF(J$18&lt;-0.25,1,IF(J$18&lt;-0.1,2,IF(J$18&lt;0.1,3,IF(J$18&lt;0.25,4,5))))</f>
        <v>2</v>
      </c>
      <c r="K24" s="129">
        <f>IF(K$18&lt;-0.25,1,IF(K$18&lt;-0.1,2,IF(K$18&lt;0.1,3,IF(K$18&lt;0.25,4,5))))</f>
        <v>2</v>
      </c>
    </row>
    <row r="25" ht="13"/>
    <row r="26" ht="13"/>
    <row r="27" spans="4:4" ht="13">
      <c r="D27" s="10"/>
    </row>
    <row r="28" ht="13"/>
    <row r="29" spans="6:6" ht="13">
      <c r="F29" s="122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1601-01-01T05:00:00Z</cp:lastPrinted>
  <dcterms:created xsi:type="dcterms:W3CDTF">1601-01-01T05:00:00Z</dcterms:created>
  <dcterms:modified xsi:type="dcterms:W3CDTF">1601-01-01T05:00:00Z</dcterms:modified>
  <cp:category/>
</cp:coreProperties>
</file>