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ce\Finance Mgmt\Rate Applications\2021 Cost of Service (EB-2020-0048)\Interrogatories\IR Clarification Questions\"/>
    </mc:Choice>
  </mc:AlternateContent>
  <bookViews>
    <workbookView xWindow="1428" yWindow="0" windowWidth="28800" windowHeight="12432" activeTab="1"/>
  </bookViews>
  <sheets>
    <sheet name="App.2 ZA" sheetId="1" r:id="rId1"/>
    <sheet name="App.2 ZB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2" l="1"/>
  <c r="F112" i="2"/>
  <c r="J111" i="2"/>
  <c r="F111" i="2"/>
  <c r="F113" i="2" s="1"/>
  <c r="J110" i="2"/>
  <c r="F110" i="2"/>
  <c r="D106" i="2"/>
  <c r="J105" i="2"/>
  <c r="F105" i="2"/>
  <c r="J104" i="2"/>
  <c r="F104" i="2"/>
  <c r="J103" i="2"/>
  <c r="F103" i="2"/>
  <c r="J102" i="2"/>
  <c r="J106" i="2" s="1"/>
  <c r="F102" i="2"/>
  <c r="J101" i="2"/>
  <c r="F101" i="2"/>
  <c r="F106" i="2" s="1"/>
  <c r="J100" i="2"/>
  <c r="F100" i="2"/>
  <c r="J99" i="2"/>
  <c r="F99" i="2"/>
  <c r="J94" i="2"/>
  <c r="F94" i="2"/>
  <c r="J93" i="2"/>
  <c r="F93" i="2"/>
  <c r="J92" i="2"/>
  <c r="F92" i="2"/>
  <c r="J91" i="2"/>
  <c r="F91" i="2"/>
  <c r="J90" i="2"/>
  <c r="F90" i="2"/>
  <c r="J89" i="2"/>
  <c r="F89" i="2"/>
  <c r="J88" i="2"/>
  <c r="J95" i="2" s="1"/>
  <c r="F88" i="2"/>
  <c r="J87" i="2"/>
  <c r="F87" i="2"/>
  <c r="F95" i="2" s="1"/>
  <c r="K95" i="2" s="1"/>
  <c r="J81" i="2"/>
  <c r="F81" i="2"/>
  <c r="J80" i="2"/>
  <c r="F80" i="2"/>
  <c r="J79" i="2"/>
  <c r="F79" i="2"/>
  <c r="J78" i="2"/>
  <c r="F78" i="2"/>
  <c r="J77" i="2"/>
  <c r="F77" i="2"/>
  <c r="J76" i="2"/>
  <c r="F76" i="2"/>
  <c r="J75" i="2"/>
  <c r="J83" i="2" s="1"/>
  <c r="F75" i="2"/>
  <c r="F83" i="2" s="1"/>
  <c r="K83" i="2" s="1"/>
  <c r="J70" i="2"/>
  <c r="F70" i="2"/>
  <c r="J69" i="2"/>
  <c r="F69" i="2"/>
  <c r="J68" i="2"/>
  <c r="F68" i="2"/>
  <c r="J67" i="2"/>
  <c r="F67" i="2"/>
  <c r="J66" i="2"/>
  <c r="F66" i="2"/>
  <c r="J65" i="2"/>
  <c r="F65" i="2"/>
  <c r="F71" i="2" s="1"/>
  <c r="J64" i="2"/>
  <c r="F64" i="2"/>
  <c r="J63" i="2"/>
  <c r="J71" i="2" s="1"/>
  <c r="F63" i="2"/>
  <c r="J58" i="2"/>
  <c r="F58" i="2"/>
  <c r="J57" i="2"/>
  <c r="F57" i="2"/>
  <c r="J56" i="2"/>
  <c r="F56" i="2"/>
  <c r="J55" i="2"/>
  <c r="F55" i="2"/>
  <c r="J54" i="2"/>
  <c r="F54" i="2"/>
  <c r="J53" i="2"/>
  <c r="F53" i="2"/>
  <c r="J52" i="2"/>
  <c r="F52" i="2"/>
  <c r="J51" i="2"/>
  <c r="F51" i="2"/>
  <c r="J50" i="2"/>
  <c r="J59" i="2" s="1"/>
  <c r="F50" i="2"/>
  <c r="F59" i="2" s="1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J46" i="2" s="1"/>
  <c r="F39" i="2"/>
  <c r="J38" i="2"/>
  <c r="F38" i="2"/>
  <c r="J37" i="2"/>
  <c r="F37" i="2"/>
  <c r="F46" i="2" s="1"/>
  <c r="D33" i="2"/>
  <c r="A32" i="2"/>
  <c r="A45" i="2" s="1"/>
  <c r="F31" i="2"/>
  <c r="A31" i="2"/>
  <c r="A44" i="2" s="1"/>
  <c r="A57" i="2" s="1"/>
  <c r="A69" i="2" s="1"/>
  <c r="F30" i="2"/>
  <c r="F29" i="2"/>
  <c r="F28" i="2"/>
  <c r="F129" i="2" s="1"/>
  <c r="F27" i="2"/>
  <c r="F26" i="2"/>
  <c r="J33" i="2"/>
  <c r="F25" i="2"/>
  <c r="F33" i="2" s="1"/>
  <c r="A30" i="2"/>
  <c r="A43" i="2" s="1"/>
  <c r="A56" i="2" s="1"/>
  <c r="A68" i="2" s="1"/>
  <c r="A29" i="2"/>
  <c r="A42" i="2" s="1"/>
  <c r="A55" i="2" s="1"/>
  <c r="A67" i="2" s="1"/>
  <c r="A28" i="2"/>
  <c r="A41" i="2" s="1"/>
  <c r="A54" i="2" s="1"/>
  <c r="A66" i="2" s="1"/>
  <c r="A27" i="2"/>
  <c r="A39" i="2" s="1"/>
  <c r="A52" i="2" s="1"/>
  <c r="A65" i="2" s="1"/>
  <c r="A26" i="2"/>
  <c r="A38" i="2" s="1"/>
  <c r="A51" i="2" s="1"/>
  <c r="A64" i="2" s="1"/>
  <c r="H21" i="2"/>
  <c r="D21" i="2"/>
  <c r="A25" i="2"/>
  <c r="A37" i="2" s="1"/>
  <c r="A50" i="2" s="1"/>
  <c r="A63" i="2" s="1"/>
  <c r="F12" i="2"/>
  <c r="D121" i="2"/>
  <c r="B58" i="1"/>
  <c r="L57" i="1"/>
  <c r="B57" i="1"/>
  <c r="K56" i="1"/>
  <c r="L56" i="1" s="1"/>
  <c r="H56" i="1"/>
  <c r="B56" i="1"/>
  <c r="K55" i="1"/>
  <c r="L55" i="1" s="1"/>
  <c r="H55" i="1"/>
  <c r="B55" i="1"/>
  <c r="K54" i="1"/>
  <c r="L54" i="1" s="1"/>
  <c r="H54" i="1"/>
  <c r="B54" i="1"/>
  <c r="K53" i="1"/>
  <c r="L53" i="1" s="1"/>
  <c r="H53" i="1"/>
  <c r="B53" i="1"/>
  <c r="K52" i="1"/>
  <c r="L52" i="1" s="1"/>
  <c r="H52" i="1"/>
  <c r="B52" i="1"/>
  <c r="K51" i="1"/>
  <c r="L51" i="1" s="1"/>
  <c r="H51" i="1"/>
  <c r="H59" i="1" s="1"/>
  <c r="L58" i="1" s="1"/>
  <c r="B51" i="1"/>
  <c r="G46" i="1"/>
  <c r="F46" i="1"/>
  <c r="L44" i="1"/>
  <c r="L43" i="1"/>
  <c r="L46" i="1" s="1"/>
  <c r="G48" i="1"/>
  <c r="I38" i="1"/>
  <c r="H38" i="1"/>
  <c r="F38" i="1"/>
  <c r="J37" i="1"/>
  <c r="J36" i="1"/>
  <c r="J35" i="1"/>
  <c r="J34" i="1"/>
  <c r="J33" i="1"/>
  <c r="J32" i="1"/>
  <c r="J31" i="1"/>
  <c r="J30" i="1"/>
  <c r="J29" i="1"/>
  <c r="H20" i="1"/>
  <c r="K31" i="1" s="1"/>
  <c r="H18" i="1"/>
  <c r="A87" i="2" l="1"/>
  <c r="A99" i="2" s="1"/>
  <c r="A75" i="2"/>
  <c r="K46" i="2"/>
  <c r="E125" i="2" s="1"/>
  <c r="F125" i="2"/>
  <c r="F124" i="2"/>
  <c r="K71" i="2"/>
  <c r="E124" i="2" s="1"/>
  <c r="H124" i="2" s="1"/>
  <c r="A89" i="2"/>
  <c r="A101" i="2" s="1"/>
  <c r="A77" i="2"/>
  <c r="A92" i="2"/>
  <c r="A104" i="2" s="1"/>
  <c r="A80" i="2"/>
  <c r="K59" i="2"/>
  <c r="E126" i="2" s="1"/>
  <c r="F126" i="2"/>
  <c r="K33" i="2"/>
  <c r="E123" i="2" s="1"/>
  <c r="F123" i="2"/>
  <c r="K113" i="2"/>
  <c r="E128" i="2" s="1"/>
  <c r="F128" i="2"/>
  <c r="A90" i="2"/>
  <c r="A102" i="2" s="1"/>
  <c r="A78" i="2"/>
  <c r="A93" i="2"/>
  <c r="A105" i="2" s="1"/>
  <c r="A81" i="2"/>
  <c r="A88" i="2"/>
  <c r="A100" i="2" s="1"/>
  <c r="A76" i="2"/>
  <c r="A91" i="2"/>
  <c r="A103" i="2" s="1"/>
  <c r="A79" i="2"/>
  <c r="K106" i="2"/>
  <c r="E127" i="2" s="1"/>
  <c r="H127" i="2" s="1"/>
  <c r="F21" i="2"/>
  <c r="J21" i="2"/>
  <c r="J115" i="2" s="1"/>
  <c r="J117" i="2" s="1"/>
  <c r="H10" i="2"/>
  <c r="L31" i="1"/>
  <c r="L60" i="1"/>
  <c r="L30" i="1"/>
  <c r="L32" i="1"/>
  <c r="K36" i="1"/>
  <c r="L36" i="1" s="1"/>
  <c r="K34" i="1"/>
  <c r="L34" i="1" s="1"/>
  <c r="K29" i="1"/>
  <c r="L29" i="1" s="1"/>
  <c r="K37" i="1"/>
  <c r="L37" i="1" s="1"/>
  <c r="K32" i="1"/>
  <c r="K35" i="1"/>
  <c r="L35" i="1" s="1"/>
  <c r="K30" i="1"/>
  <c r="K33" i="1"/>
  <c r="L33" i="1" s="1"/>
  <c r="H128" i="2" l="1"/>
  <c r="H123" i="2"/>
  <c r="H126" i="2"/>
  <c r="H125" i="2"/>
  <c r="F122" i="2"/>
  <c r="F130" i="2" s="1"/>
  <c r="K21" i="2"/>
  <c r="F115" i="2"/>
  <c r="L38" i="1"/>
  <c r="K115" i="2" l="1"/>
  <c r="F116" i="2"/>
  <c r="K116" i="2" s="1"/>
  <c r="E129" i="2" s="1"/>
  <c r="E122" i="2"/>
  <c r="E130" i="2" l="1"/>
  <c r="H122" i="2"/>
  <c r="H130" i="2" s="1"/>
  <c r="F117" i="2"/>
  <c r="K117" i="2"/>
  <c r="E131" i="2" l="1"/>
</calcChain>
</file>

<file path=xl/sharedStrings.xml><?xml version="1.0" encoding="utf-8"?>
<sst xmlns="http://schemas.openxmlformats.org/spreadsheetml/2006/main" count="296" uniqueCount="101">
  <si>
    <t>File Number: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</si>
  <si>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</si>
  <si>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</si>
  <si>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</si>
  <si>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</si>
  <si>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</si>
  <si>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</si>
  <si>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</si>
  <si>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2021 Forecasted Commodity Prices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</si>
  <si>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</si>
  <si>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</si>
  <si>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</si>
  <si>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</si>
  <si>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</si>
  <si>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</si>
  <si>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</si>
  <si>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</si>
  <si>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</si>
  <si>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</si>
  <si>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</si>
  <si>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</si>
  <si>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</si>
  <si>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</si>
  <si>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bridge and test year are loss adjusted)</t>
  </si>
  <si>
    <t>Commodity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</si>
  <si>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</si>
  <si>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</si>
  <si>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</si>
  <si>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</si>
  <si>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</si>
  <si>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</si>
  <si>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</si>
  <si>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</si>
  <si>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</si>
  <si>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</si>
  <si>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</si>
  <si>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</si>
  <si>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</si>
  <si>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</si>
  <si>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 &lt; 50 KW</t>
  </si>
  <si>
    <t>GS 50 to 999 KW</t>
  </si>
  <si>
    <t xml:space="preserve">GS 1000 to 4999 KW </t>
  </si>
  <si>
    <t>Large User</t>
  </si>
  <si>
    <t xml:space="preserve">Unmetered </t>
  </si>
  <si>
    <t>Sentinel</t>
  </si>
  <si>
    <t>Street Lighting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</si>
  <si>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</si>
  <si>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</si>
  <si>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</si>
  <si>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</si>
  <si>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</si>
  <si>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</si>
  <si>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</si>
  <si>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</si>
  <si>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2019 – October 31, 2020</t>
  </si>
  <si>
    <t>** Enter 2021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</si>
  <si>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</si>
  <si>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</si>
  <si>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All Volume should be loss adjusted with the exception of:</t>
  </si>
  <si>
    <t>* Volume loss adjusted less WMP</t>
  </si>
  <si>
    <t>**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</si>
  <si>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</si>
  <si>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</si>
  <si>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</si>
  <si>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</si>
  <si>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</si>
  <si>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</si>
  <si>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</si>
  <si>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</si>
  <si>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kWh*</t>
  </si>
  <si>
    <t>SUB-TOTAL</t>
  </si>
  <si>
    <t>Global Adjustment non-RPP</t>
  </si>
  <si>
    <t xml:space="preserve">Class per Load Forecast </t>
  </si>
  <si>
    <t>OK</t>
  </si>
  <si>
    <t>Transmission - Network</t>
  </si>
  <si>
    <t xml:space="preserve"> Volume</t>
  </si>
  <si>
    <t>kW</t>
  </si>
  <si>
    <t>GS 50 to 999 KW - interval metered</t>
  </si>
  <si>
    <t>Transmission - Connection</t>
  </si>
  <si>
    <t>Wholesale Market Service</t>
  </si>
  <si>
    <t xml:space="preserve"> </t>
  </si>
  <si>
    <t xml:space="preserve">Class A CBR </t>
  </si>
  <si>
    <t>RRRP</t>
  </si>
  <si>
    <t>Low Voltage - No TLF adjustment</t>
  </si>
  <si>
    <t>kWh**</t>
  </si>
  <si>
    <t>Smart Meter Entity Charge</t>
  </si>
  <si>
    <t>Customers</t>
  </si>
  <si>
    <t xml:space="preserve">Residential </t>
  </si>
  <si>
    <t>SUB- TOTAL</t>
  </si>
  <si>
    <t>ORECA CREDIT</t>
  </si>
  <si>
    <t xml:space="preserve">***The ORECA Credit of 31.8% will only apply to RPP proportion of the listed components. Impacts on distribution charges are excluded for the purpose of calculating the cost of power. </t>
  </si>
  <si>
    <t>****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</si>
  <si>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</si>
  <si>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</si>
  <si>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</si>
  <si>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</si>
  <si>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</si>
  <si>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</si>
  <si>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</si>
  <si>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</si>
  <si>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>2021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</si>
</sst>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$#,##0.00_);&quot;($&quot;#,##0.00\)"/>
    <numFmt numFmtId="166" formatCode="_(* #,##0.00_);_(* \(#,##0.00\);_(* &quot;-&quot;??_);_(@_)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\$#,##0"/>
    <numFmt numFmtId="170" formatCode="_(* #,##0_);_(* \(#,##0\);_(* &quot;-&quot;??_);_(@_)"/>
    <numFmt numFmtId="171" formatCode="_(* #,##0.0000_);_(* \(#,##0.0000\);_(* &quot;-&quot;??_);_(@_)"/>
    <numFmt numFmtId="172" formatCode="_-&quot;$&quot;* #,##0_-;\-&quot;$&quot;* #,##0_-;_-&quot;$&quot;* &quot;-&quot;??_-;_-@_-"/>
    <numFmt numFmtId="173" formatCode="_-&quot;$&quot;* #,##0.0000_-;\-&quot;$&quot;* #,##0.0000_-;_-&quot;$&quot;* &quot;-&quot;??_-;_-@_-"/>
    <numFmt numFmtId="174" formatCode="_-* #,##0_-;\-* #,##0_-;_-* \-??_-;_-@_-"/>
    <numFmt numFmtId="175" formatCode="_-* #,##0.00_-;\-* #,##0.00_-;_-* \-??_-;_-@_-"/>
    <numFmt numFmtId="176" formatCode="_(&quot;$&quot;* #,##0_);_(&quot;$&quot;* \(#,##0\);_(&quot;$&quot;* &quot;-&quot;??_);_(@_)"/>
    <numFmt numFmtId="177" formatCode="#,##0\ ;[Red]\(#,##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10" fillId="0" borderId="0" applyFill="0" applyBorder="0" applyAlignment="0" applyProtection="0"/>
  </cellStyleXfs>
  <cellXfs count="220">
    <xf numFmtId="0" fontId="0" fillId="0" borderId="0" xfId="0"/>
    <xf numFmtId="0" fontId="1" fillId="0" borderId="0" xfId="3" applyProtection="1"/>
    <xf numFmtId="0" fontId="3" fillId="0" borderId="0" xfId="3" applyFont="1" applyAlignment="1" applyProtection="1">
      <alignment horizontal="left" vertical="center"/>
    </xf>
    <xf numFmtId="0" fontId="4" fillId="0" borderId="0" xfId="3" applyFont="1" applyAlignment="1" applyProtection="1">
      <alignment wrapText="1"/>
    </xf>
    <xf numFmtId="0" fontId="5" fillId="0" borderId="0" xfId="3" applyFont="1" applyAlignment="1" applyProtection="1">
      <alignment horizontal="left"/>
    </xf>
    <xf numFmtId="0" fontId="6" fillId="2" borderId="0" xfId="3" applyFont="1" applyFill="1" applyAlignment="1" applyProtection="1">
      <alignment horizontal="right" vertical="top"/>
      <protection locked="0"/>
    </xf>
    <xf numFmtId="0" fontId="7" fillId="0" borderId="0" xfId="3" applyFont="1" applyBorder="1" applyAlignment="1" applyProtection="1">
      <alignment vertical="top"/>
    </xf>
    <xf numFmtId="0" fontId="6" fillId="2" borderId="1" xfId="3" applyFont="1" applyFill="1" applyBorder="1" applyAlignment="1" applyProtection="1">
      <alignment horizontal="right" vertical="top"/>
      <protection locked="0"/>
    </xf>
    <xf numFmtId="0" fontId="7" fillId="0" borderId="0" xfId="3" applyFont="1" applyBorder="1" applyAlignment="1" applyProtection="1">
      <alignment horizontal="center" vertical="top"/>
    </xf>
    <xf numFmtId="0" fontId="1" fillId="0" borderId="0" xfId="3" applyAlignment="1" applyProtection="1">
      <alignment horizontal="center"/>
    </xf>
    <xf numFmtId="0" fontId="6" fillId="0" borderId="0" xfId="3" applyFont="1" applyAlignment="1" applyProtection="1">
      <alignment horizontal="right" vertical="top"/>
    </xf>
    <xf numFmtId="0" fontId="1" fillId="0" borderId="0" xfId="3" applyBorder="1" applyProtection="1"/>
    <xf numFmtId="0" fontId="8" fillId="0" borderId="2" xfId="3" applyFont="1" applyBorder="1" applyProtection="1"/>
    <xf numFmtId="0" fontId="9" fillId="0" borderId="2" xfId="3" applyFont="1" applyFill="1" applyBorder="1" applyAlignment="1" applyProtection="1">
      <alignment horizontal="left" indent="1"/>
    </xf>
    <xf numFmtId="0" fontId="9" fillId="0" borderId="2" xfId="3" applyFont="1" applyFill="1" applyBorder="1" applyProtection="1"/>
    <xf numFmtId="10" fontId="9" fillId="0" borderId="2" xfId="4" applyNumberFormat="1" applyFont="1" applyFill="1" applyBorder="1" applyAlignment="1" applyProtection="1">
      <alignment horizontal="right"/>
    </xf>
    <xf numFmtId="0" fontId="9" fillId="0" borderId="0" xfId="3" applyFont="1" applyFill="1" applyBorder="1" applyAlignment="1" applyProtection="1">
      <alignment horizontal="left" indent="1"/>
    </xf>
    <xf numFmtId="0" fontId="9" fillId="0" borderId="0" xfId="3" applyFont="1" applyFill="1" applyBorder="1" applyProtection="1"/>
    <xf numFmtId="10" fontId="9" fillId="0" borderId="0" xfId="4" applyNumberFormat="1" applyFont="1" applyFill="1" applyBorder="1" applyAlignment="1" applyProtection="1">
      <alignment horizontal="right"/>
    </xf>
    <xf numFmtId="0" fontId="8" fillId="0" borderId="0" xfId="3" applyFont="1" applyProtection="1"/>
    <xf numFmtId="0" fontId="11" fillId="0" borderId="0" xfId="3" applyFont="1" applyProtection="1"/>
    <xf numFmtId="0" fontId="12" fillId="0" borderId="0" xfId="3" applyFont="1" applyBorder="1" applyProtection="1"/>
    <xf numFmtId="0" fontId="8" fillId="0" borderId="0" xfId="3" applyFont="1" applyFill="1" applyBorder="1" applyProtection="1"/>
    <xf numFmtId="164" fontId="5" fillId="0" borderId="3" xfId="3" applyNumberFormat="1" applyFont="1" applyFill="1" applyBorder="1" applyAlignment="1" applyProtection="1">
      <alignment horizontal="center"/>
    </xf>
    <xf numFmtId="164" fontId="5" fillId="0" borderId="4" xfId="3" applyNumberFormat="1" applyFont="1" applyFill="1" applyBorder="1" applyAlignment="1" applyProtection="1">
      <alignment horizontal="center"/>
    </xf>
    <xf numFmtId="164" fontId="5" fillId="0" borderId="0" xfId="3" applyNumberFormat="1" applyFont="1" applyFill="1" applyBorder="1" applyAlignment="1" applyProtection="1">
      <alignment horizontal="center"/>
    </xf>
    <xf numFmtId="0" fontId="13" fillId="0" borderId="0" xfId="3" applyFont="1" applyFill="1" applyBorder="1" applyProtection="1"/>
    <xf numFmtId="0" fontId="8" fillId="0" borderId="0" xfId="3" applyFont="1" applyBorder="1" applyProtection="1"/>
    <xf numFmtId="0" fontId="14" fillId="0" borderId="5" xfId="3" applyFont="1" applyFill="1" applyBorder="1" applyAlignment="1" applyProtection="1">
      <alignment horizontal="center"/>
    </xf>
    <xf numFmtId="0" fontId="14" fillId="0" borderId="6" xfId="3" applyFont="1" applyFill="1" applyBorder="1" applyAlignment="1" applyProtection="1">
      <alignment horizontal="center"/>
    </xf>
    <xf numFmtId="0" fontId="14" fillId="0" borderId="0" xfId="3" applyFont="1" applyFill="1" applyBorder="1" applyAlignment="1" applyProtection="1">
      <alignment horizontal="center"/>
    </xf>
    <xf numFmtId="0" fontId="15" fillId="0" borderId="0" xfId="3" applyFont="1" applyFill="1" applyBorder="1" applyProtection="1"/>
    <xf numFmtId="0" fontId="14" fillId="0" borderId="7" xfId="3" applyFont="1" applyFill="1" applyBorder="1" applyAlignment="1" applyProtection="1">
      <alignment horizontal="center"/>
    </xf>
    <xf numFmtId="0" fontId="14" fillId="0" borderId="8" xfId="3" applyFont="1" applyFill="1" applyBorder="1" applyAlignment="1" applyProtection="1">
      <alignment horizontal="center"/>
    </xf>
    <xf numFmtId="0" fontId="16" fillId="0" borderId="9" xfId="3" applyFont="1" applyFill="1" applyBorder="1" applyProtection="1"/>
    <xf numFmtId="0" fontId="16" fillId="0" borderId="10" xfId="3" applyFont="1" applyFill="1" applyBorder="1" applyAlignment="1" applyProtection="1">
      <alignment horizontal="center" vertical="center" wrapText="1"/>
    </xf>
    <xf numFmtId="0" fontId="16" fillId="0" borderId="11" xfId="3" applyFont="1" applyFill="1" applyBorder="1" applyAlignment="1" applyProtection="1">
      <alignment horizontal="center" vertical="center" wrapText="1"/>
    </xf>
    <xf numFmtId="0" fontId="16" fillId="0" borderId="12" xfId="3" applyFont="1" applyFill="1" applyBorder="1" applyAlignment="1" applyProtection="1">
      <alignment horizontal="center" vertical="center" wrapText="1"/>
    </xf>
    <xf numFmtId="0" fontId="16" fillId="3" borderId="13" xfId="3" applyFont="1" applyFill="1" applyBorder="1" applyAlignment="1" applyProtection="1">
      <alignment horizontal="center" wrapText="1"/>
    </xf>
    <xf numFmtId="165" fontId="16" fillId="4" borderId="14" xfId="3" applyNumberFormat="1" applyFont="1" applyFill="1" applyBorder="1" applyProtection="1">
      <protection locked="0"/>
    </xf>
    <xf numFmtId="165" fontId="16" fillId="2" borderId="15" xfId="3" applyNumberFormat="1" applyFont="1" applyFill="1" applyBorder="1" applyProtection="1">
      <protection locked="0"/>
    </xf>
    <xf numFmtId="165" fontId="16" fillId="0" borderId="0" xfId="3" applyNumberFormat="1" applyFont="1" applyFill="1" applyBorder="1" applyProtection="1"/>
    <xf numFmtId="0" fontId="16" fillId="3" borderId="16" xfId="3" applyFont="1" applyFill="1" applyBorder="1" applyAlignment="1" applyProtection="1">
      <alignment horizontal="center" wrapText="1"/>
    </xf>
    <xf numFmtId="165" fontId="16" fillId="4" borderId="17" xfId="3" applyNumberFormat="1" applyFont="1" applyFill="1" applyBorder="1" applyProtection="1">
      <protection locked="0"/>
    </xf>
    <xf numFmtId="165" fontId="16" fillId="2" borderId="18" xfId="3" applyNumberFormat="1" applyFont="1" applyFill="1" applyBorder="1" applyProtection="1">
      <protection locked="0"/>
    </xf>
    <xf numFmtId="0" fontId="8" fillId="0" borderId="10" xfId="3" applyFont="1" applyFill="1" applyBorder="1" applyAlignment="1" applyProtection="1">
      <alignment horizontal="center" vertical="center" wrapText="1"/>
    </xf>
    <xf numFmtId="0" fontId="8" fillId="0" borderId="11" xfId="3" applyFont="1" applyFill="1" applyBorder="1" applyAlignment="1" applyProtection="1">
      <alignment horizontal="center" vertical="center" wrapText="1"/>
    </xf>
    <xf numFmtId="0" fontId="8" fillId="0" borderId="12" xfId="3" applyFont="1" applyFill="1" applyBorder="1" applyAlignment="1" applyProtection="1">
      <alignment horizontal="center" vertical="center" wrapText="1"/>
    </xf>
    <xf numFmtId="165" fontId="8" fillId="0" borderId="17" xfId="3" applyNumberFormat="1" applyFont="1" applyFill="1" applyBorder="1" applyProtection="1"/>
    <xf numFmtId="165" fontId="8" fillId="0" borderId="0" xfId="3" applyNumberFormat="1" applyFont="1" applyFill="1" applyBorder="1" applyProtection="1"/>
    <xf numFmtId="0" fontId="17" fillId="0" borderId="9" xfId="3" applyFont="1" applyFill="1" applyBorder="1" applyAlignment="1" applyProtection="1">
      <alignment horizontal="left" indent="1"/>
    </xf>
    <xf numFmtId="165" fontId="17" fillId="0" borderId="17" xfId="3" applyNumberFormat="1" applyFont="1" applyFill="1" applyBorder="1" applyProtection="1"/>
    <xf numFmtId="165" fontId="17" fillId="0" borderId="18" xfId="3" applyNumberFormat="1" applyFont="1" applyFill="1" applyBorder="1" applyProtection="1"/>
    <xf numFmtId="165" fontId="17" fillId="0" borderId="0" xfId="3" applyNumberFormat="1" applyFont="1" applyFill="1" applyBorder="1" applyProtection="1"/>
    <xf numFmtId="0" fontId="18" fillId="0" borderId="0" xfId="3" applyFont="1" applyBorder="1" applyProtection="1"/>
    <xf numFmtId="0" fontId="19" fillId="0" borderId="0" xfId="3" applyFont="1" applyProtection="1"/>
    <xf numFmtId="0" fontId="1" fillId="0" borderId="19" xfId="3" applyBorder="1" applyProtection="1"/>
    <xf numFmtId="1" fontId="17" fillId="5" borderId="12" xfId="3" applyNumberFormat="1" applyFont="1" applyFill="1" applyBorder="1" applyAlignment="1" applyProtection="1">
      <alignment horizontal="center"/>
    </xf>
    <xf numFmtId="1" fontId="17" fillId="5" borderId="17" xfId="3" applyNumberFormat="1" applyFont="1" applyFill="1" applyBorder="1" applyAlignment="1" applyProtection="1">
      <alignment horizontal="center"/>
    </xf>
    <xf numFmtId="0" fontId="17" fillId="0" borderId="20" xfId="3" applyFont="1" applyBorder="1" applyProtection="1"/>
    <xf numFmtId="0" fontId="17" fillId="0" borderId="20" xfId="3" applyFont="1" applyBorder="1" applyAlignment="1" applyProtection="1">
      <alignment horizontal="center"/>
    </xf>
    <xf numFmtId="0" fontId="17" fillId="0" borderId="9" xfId="3" applyFont="1" applyBorder="1" applyAlignment="1" applyProtection="1">
      <alignment horizontal="center"/>
    </xf>
    <xf numFmtId="0" fontId="17" fillId="0" borderId="17" xfId="3" applyFont="1" applyBorder="1" applyAlignment="1" applyProtection="1">
      <alignment horizontal="center"/>
    </xf>
    <xf numFmtId="0" fontId="1" fillId="0" borderId="20" xfId="3" applyFont="1" applyBorder="1" applyProtection="1"/>
    <xf numFmtId="0" fontId="1" fillId="0" borderId="20" xfId="3" applyBorder="1" applyAlignment="1" applyProtection="1">
      <alignment horizontal="center"/>
    </xf>
    <xf numFmtId="0" fontId="1" fillId="0" borderId="9" xfId="3" applyBorder="1" applyAlignment="1" applyProtection="1">
      <alignment horizontal="center"/>
    </xf>
    <xf numFmtId="0" fontId="16" fillId="0" borderId="17" xfId="3" applyFont="1" applyBorder="1" applyAlignment="1" applyProtection="1">
      <alignment horizontal="center" wrapText="1"/>
    </xf>
    <xf numFmtId="0" fontId="1" fillId="0" borderId="17" xfId="3" applyBorder="1" applyAlignment="1" applyProtection="1">
      <alignment horizontal="center"/>
    </xf>
    <xf numFmtId="0" fontId="16" fillId="2" borderId="20" xfId="3" applyFont="1" applyFill="1" applyBorder="1" applyAlignment="1" applyProtection="1">
      <alignment vertical="center"/>
      <protection locked="0"/>
    </xf>
    <xf numFmtId="0" fontId="1" fillId="6" borderId="20" xfId="3" applyFill="1" applyBorder="1" applyAlignment="1" applyProtection="1">
      <alignment horizontal="center"/>
    </xf>
    <xf numFmtId="0" fontId="1" fillId="6" borderId="9" xfId="3" applyFill="1" applyBorder="1" applyAlignment="1" applyProtection="1">
      <alignment horizontal="center"/>
    </xf>
    <xf numFmtId="167" fontId="16" fillId="2" borderId="20" xfId="1" applyNumberFormat="1" applyFont="1" applyFill="1" applyBorder="1" applyAlignment="1" applyProtection="1">
      <alignment vertical="center"/>
      <protection locked="0"/>
    </xf>
    <xf numFmtId="0" fontId="1" fillId="3" borderId="0" xfId="3" applyFill="1" applyProtection="1"/>
    <xf numFmtId="168" fontId="0" fillId="0" borderId="17" xfId="5" quotePrefix="1" applyNumberFormat="1" applyFont="1" applyFill="1" applyBorder="1" applyAlignment="1" applyProtection="1">
      <alignment horizontal="right"/>
    </xf>
    <xf numFmtId="169" fontId="1" fillId="0" borderId="17" xfId="3" applyNumberFormat="1" applyFill="1" applyBorder="1" applyAlignment="1" applyProtection="1">
      <alignment horizontal="right"/>
    </xf>
    <xf numFmtId="0" fontId="17" fillId="0" borderId="21" xfId="3" applyFont="1" applyBorder="1" applyProtection="1"/>
    <xf numFmtId="49" fontId="1" fillId="0" borderId="21" xfId="3" applyNumberFormat="1" applyBorder="1" applyAlignment="1" applyProtection="1">
      <alignment horizontal="center"/>
    </xf>
    <xf numFmtId="0" fontId="17" fillId="0" borderId="21" xfId="3" applyFont="1" applyBorder="1" applyAlignment="1" applyProtection="1">
      <alignment horizontal="center"/>
    </xf>
    <xf numFmtId="0" fontId="17" fillId="0" borderId="22" xfId="3" applyFont="1" applyBorder="1" applyAlignment="1" applyProtection="1">
      <alignment horizontal="center"/>
    </xf>
    <xf numFmtId="37" fontId="17" fillId="0" borderId="17" xfId="3" applyNumberFormat="1" applyFont="1" applyBorder="1" applyAlignment="1" applyProtection="1">
      <alignment horizontal="right"/>
    </xf>
    <xf numFmtId="170" fontId="2" fillId="0" borderId="17" xfId="6" applyNumberFormat="1" applyFont="1" applyBorder="1" applyProtection="1"/>
    <xf numFmtId="37" fontId="17" fillId="0" borderId="12" xfId="3" applyNumberFormat="1" applyFont="1" applyBorder="1" applyAlignment="1" applyProtection="1">
      <alignment horizontal="right"/>
    </xf>
    <xf numFmtId="169" fontId="17" fillId="0" borderId="17" xfId="3" applyNumberFormat="1" applyFont="1" applyBorder="1" applyAlignment="1" applyProtection="1">
      <alignment horizontal="right"/>
    </xf>
    <xf numFmtId="0" fontId="15" fillId="0" borderId="0" xfId="3" applyFont="1" applyBorder="1" applyProtection="1"/>
    <xf numFmtId="171" fontId="8" fillId="0" borderId="0" xfId="3" applyNumberFormat="1" applyFont="1" applyProtection="1"/>
    <xf numFmtId="1" fontId="17" fillId="5" borderId="23" xfId="3" applyNumberFormat="1" applyFont="1" applyFill="1" applyBorder="1" applyAlignment="1" applyProtection="1">
      <alignment horizontal="center"/>
    </xf>
    <xf numFmtId="1" fontId="17" fillId="5" borderId="24" xfId="3" applyNumberFormat="1" applyFont="1" applyFill="1" applyBorder="1" applyAlignment="1" applyProtection="1">
      <alignment horizontal="center"/>
    </xf>
    <xf numFmtId="1" fontId="17" fillId="5" borderId="25" xfId="3" applyNumberFormat="1" applyFont="1" applyFill="1" applyBorder="1" applyAlignment="1" applyProtection="1">
      <alignment horizontal="center"/>
    </xf>
    <xf numFmtId="1" fontId="17" fillId="5" borderId="26" xfId="3" applyNumberFormat="1" applyFont="1" applyFill="1" applyBorder="1" applyAlignment="1" applyProtection="1">
      <alignment horizontal="center"/>
    </xf>
    <xf numFmtId="0" fontId="17" fillId="3" borderId="26" xfId="3" applyFont="1" applyFill="1" applyBorder="1" applyAlignment="1" applyProtection="1">
      <alignment horizontal="center"/>
    </xf>
    <xf numFmtId="0" fontId="17" fillId="0" borderId="27" xfId="3" applyFont="1" applyBorder="1" applyAlignment="1" applyProtection="1">
      <alignment horizontal="center" wrapText="1"/>
    </xf>
    <xf numFmtId="172" fontId="16" fillId="2" borderId="20" xfId="2" applyNumberFormat="1" applyFont="1" applyFill="1" applyBorder="1" applyAlignment="1" applyProtection="1">
      <alignment vertical="center"/>
      <protection locked="0"/>
    </xf>
    <xf numFmtId="170" fontId="0" fillId="3" borderId="0" xfId="6" applyNumberFormat="1" applyFont="1" applyFill="1" applyBorder="1" applyAlignment="1" applyProtection="1">
      <alignment horizontal="center"/>
    </xf>
    <xf numFmtId="173" fontId="16" fillId="2" borderId="20" xfId="2" applyNumberFormat="1" applyFont="1" applyFill="1" applyBorder="1" applyAlignment="1" applyProtection="1">
      <alignment vertical="center"/>
      <protection locked="0"/>
    </xf>
    <xf numFmtId="169" fontId="1" fillId="0" borderId="20" xfId="3" applyNumberFormat="1" applyFill="1" applyBorder="1" applyAlignment="1" applyProtection="1">
      <alignment horizontal="right"/>
    </xf>
    <xf numFmtId="166" fontId="0" fillId="3" borderId="0" xfId="6" applyFont="1" applyFill="1" applyBorder="1" applyAlignment="1" applyProtection="1">
      <alignment horizontal="center"/>
    </xf>
    <xf numFmtId="170" fontId="1" fillId="6" borderId="20" xfId="3" applyNumberFormat="1" applyFill="1" applyBorder="1" applyAlignment="1" applyProtection="1">
      <alignment horizontal="center"/>
    </xf>
    <xf numFmtId="174" fontId="1" fillId="6" borderId="20" xfId="3" applyNumberFormat="1" applyFill="1" applyBorder="1" applyAlignment="1" applyProtection="1">
      <alignment horizontal="center"/>
    </xf>
    <xf numFmtId="174" fontId="1" fillId="3" borderId="0" xfId="3" applyNumberFormat="1" applyFill="1" applyBorder="1" applyAlignment="1" applyProtection="1">
      <alignment horizontal="center"/>
    </xf>
    <xf numFmtId="0" fontId="1" fillId="6" borderId="27" xfId="3" applyFill="1" applyBorder="1" applyAlignment="1" applyProtection="1">
      <alignment horizontal="center"/>
    </xf>
    <xf numFmtId="169" fontId="2" fillId="0" borderId="20" xfId="3" applyNumberFormat="1" applyFont="1" applyFill="1" applyBorder="1" applyAlignment="1" applyProtection="1">
      <alignment horizontal="right"/>
    </xf>
    <xf numFmtId="0" fontId="8" fillId="0" borderId="0" xfId="3" applyFont="1" applyFill="1" applyProtection="1"/>
    <xf numFmtId="0" fontId="17" fillId="0" borderId="0" xfId="3" applyFont="1" applyProtection="1"/>
    <xf numFmtId="0" fontId="16" fillId="0" borderId="17" xfId="3" applyFont="1" applyBorder="1" applyAlignment="1" applyProtection="1">
      <alignment horizontal="center"/>
    </xf>
    <xf numFmtId="0" fontId="16" fillId="0" borderId="13" xfId="3" applyFont="1" applyBorder="1" applyAlignment="1" applyProtection="1">
      <alignment horizontal="center"/>
    </xf>
    <xf numFmtId="0" fontId="16" fillId="0" borderId="20" xfId="3" applyFont="1" applyFill="1" applyBorder="1" applyAlignment="1" applyProtection="1">
      <alignment vertical="center"/>
    </xf>
    <xf numFmtId="37" fontId="1" fillId="3" borderId="0" xfId="3" quotePrefix="1" applyNumberFormat="1" applyFill="1" applyBorder="1" applyAlignment="1" applyProtection="1">
      <alignment horizontal="right"/>
    </xf>
    <xf numFmtId="37" fontId="1" fillId="7" borderId="11" xfId="3" quotePrefix="1" applyNumberFormat="1" applyFill="1" applyBorder="1" applyAlignment="1" applyProtection="1">
      <alignment horizontal="right"/>
    </xf>
    <xf numFmtId="168" fontId="0" fillId="7" borderId="12" xfId="5" quotePrefix="1" applyNumberFormat="1" applyFont="1" applyFill="1" applyBorder="1" applyAlignment="1" applyProtection="1">
      <alignment horizontal="right"/>
    </xf>
    <xf numFmtId="37" fontId="1" fillId="7" borderId="12" xfId="3" quotePrefix="1" applyNumberFormat="1" applyFill="1" applyBorder="1" applyAlignment="1" applyProtection="1">
      <alignment horizontal="right"/>
    </xf>
    <xf numFmtId="37" fontId="1" fillId="7" borderId="26" xfId="3" quotePrefix="1" applyNumberFormat="1" applyFill="1" applyBorder="1" applyAlignment="1" applyProtection="1">
      <alignment horizontal="right"/>
    </xf>
    <xf numFmtId="0" fontId="1" fillId="0" borderId="20" xfId="3" applyFill="1" applyBorder="1" applyAlignment="1" applyProtection="1">
      <alignment horizontal="center"/>
    </xf>
    <xf numFmtId="0" fontId="1" fillId="0" borderId="9" xfId="3" applyFill="1" applyBorder="1" applyAlignment="1" applyProtection="1">
      <alignment horizontal="center"/>
    </xf>
    <xf numFmtId="37" fontId="1" fillId="0" borderId="17" xfId="3" quotePrefix="1" applyNumberFormat="1" applyFill="1" applyBorder="1" applyAlignment="1" applyProtection="1">
      <alignment horizontal="right"/>
    </xf>
    <xf numFmtId="37" fontId="2" fillId="7" borderId="17" xfId="3" quotePrefix="1" applyNumberFormat="1" applyFont="1" applyFill="1" applyBorder="1" applyAlignment="1" applyProtection="1">
      <alignment horizontal="right"/>
    </xf>
    <xf numFmtId="49" fontId="1" fillId="0" borderId="20" xfId="3" applyNumberFormat="1" applyFill="1" applyBorder="1" applyAlignment="1" applyProtection="1">
      <alignment horizontal="center"/>
    </xf>
    <xf numFmtId="0" fontId="17" fillId="0" borderId="20" xfId="3" applyFont="1" applyFill="1" applyBorder="1" applyAlignment="1" applyProtection="1">
      <alignment horizontal="center"/>
    </xf>
    <xf numFmtId="0" fontId="17" fillId="0" borderId="9" xfId="3" applyFont="1" applyFill="1" applyBorder="1" applyAlignment="1" applyProtection="1">
      <alignment horizontal="center"/>
    </xf>
    <xf numFmtId="37" fontId="17" fillId="0" borderId="14" xfId="3" applyNumberFormat="1" applyFont="1" applyBorder="1" applyAlignment="1" applyProtection="1">
      <alignment horizontal="right"/>
    </xf>
    <xf numFmtId="37" fontId="17" fillId="0" borderId="14" xfId="3" applyNumberFormat="1" applyFont="1" applyFill="1" applyBorder="1" applyAlignment="1" applyProtection="1">
      <alignment horizontal="right"/>
    </xf>
    <xf numFmtId="169" fontId="2" fillId="0" borderId="17" xfId="3" applyNumberFormat="1" applyFont="1" applyBorder="1" applyAlignment="1" applyProtection="1">
      <alignment horizontal="right"/>
    </xf>
    <xf numFmtId="0" fontId="17" fillId="0" borderId="0" xfId="3" applyFont="1" applyBorder="1" applyProtection="1"/>
    <xf numFmtId="49" fontId="1" fillId="0" borderId="0" xfId="3" applyNumberForma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horizontal="center"/>
    </xf>
    <xf numFmtId="37" fontId="17" fillId="0" borderId="0" xfId="3" applyNumberFormat="1" applyFont="1" applyBorder="1" applyAlignment="1" applyProtection="1">
      <alignment horizontal="right"/>
    </xf>
    <xf numFmtId="37" fontId="17" fillId="0" borderId="0" xfId="3" applyNumberFormat="1" applyFont="1" applyFill="1" applyBorder="1" applyAlignment="1" applyProtection="1">
      <alignment horizontal="right"/>
    </xf>
    <xf numFmtId="0" fontId="1" fillId="0" borderId="0" xfId="3" applyBorder="1" applyAlignment="1" applyProtection="1">
      <alignment horizontal="center"/>
    </xf>
    <xf numFmtId="169" fontId="1" fillId="0" borderId="0" xfId="3" applyNumberFormat="1" applyProtection="1"/>
    <xf numFmtId="174" fontId="10" fillId="0" borderId="0" xfId="7" applyNumberFormat="1" applyProtection="1"/>
    <xf numFmtId="0" fontId="1" fillId="0" borderId="0" xfId="3" applyFont="1" applyProtection="1"/>
    <xf numFmtId="166" fontId="1" fillId="0" borderId="0" xfId="3" applyNumberFormat="1" applyProtection="1"/>
    <xf numFmtId="0" fontId="2" fillId="0" borderId="0" xfId="3" applyFont="1" applyAlignment="1" applyProtection="1">
      <alignment horizontal="center"/>
    </xf>
    <xf numFmtId="0" fontId="2" fillId="0" borderId="0" xfId="3" applyFont="1" applyAlignment="1" applyProtection="1">
      <alignment horizontal="center"/>
    </xf>
    <xf numFmtId="0" fontId="1" fillId="0" borderId="0" xfId="3" applyBorder="1" applyAlignment="1" applyProtection="1">
      <alignment horizontal="center"/>
    </xf>
    <xf numFmtId="0" fontId="1" fillId="0" borderId="0" xfId="3" applyBorder="1" applyAlignment="1" applyProtection="1">
      <alignment wrapText="1"/>
    </xf>
    <xf numFmtId="0" fontId="2" fillId="0" borderId="0" xfId="3" applyFont="1" applyBorder="1" applyAlignment="1" applyProtection="1">
      <alignment wrapText="1"/>
    </xf>
    <xf numFmtId="0" fontId="2" fillId="0" borderId="17" xfId="3" applyFont="1" applyBorder="1" applyAlignment="1" applyProtection="1">
      <alignment horizontal="center"/>
    </xf>
    <xf numFmtId="0" fontId="2" fillId="0" borderId="17" xfId="3" applyFont="1" applyBorder="1" applyAlignment="1" applyProtection="1">
      <alignment horizontal="center"/>
    </xf>
    <xf numFmtId="0" fontId="2" fillId="0" borderId="0" xfId="3" applyFont="1" applyBorder="1" applyAlignment="1" applyProtection="1"/>
    <xf numFmtId="0" fontId="2" fillId="0" borderId="12" xfId="3" applyFont="1" applyBorder="1" applyAlignment="1" applyProtection="1">
      <alignment horizontal="center" vertical="center"/>
    </xf>
    <xf numFmtId="0" fontId="20" fillId="0" borderId="17" xfId="3" applyFont="1" applyBorder="1" applyProtection="1"/>
    <xf numFmtId="0" fontId="2" fillId="0" borderId="13" xfId="3" applyFont="1" applyBorder="1" applyAlignment="1" applyProtection="1">
      <alignment horizontal="center" vertical="center" wrapText="1"/>
    </xf>
    <xf numFmtId="0" fontId="1" fillId="0" borderId="16" xfId="3" applyBorder="1" applyAlignment="1" applyProtection="1">
      <alignment horizontal="center"/>
    </xf>
    <xf numFmtId="0" fontId="1" fillId="0" borderId="17" xfId="3" applyBorder="1" applyAlignment="1" applyProtection="1">
      <alignment horizontal="center" wrapText="1"/>
    </xf>
    <xf numFmtId="0" fontId="1" fillId="0" borderId="12" xfId="3" applyBorder="1" applyAlignment="1" applyProtection="1">
      <alignment horizontal="center"/>
    </xf>
    <xf numFmtId="0" fontId="2" fillId="0" borderId="17" xfId="3" applyFont="1" applyBorder="1" applyProtection="1"/>
    <xf numFmtId="0" fontId="2" fillId="0" borderId="14" xfId="3" applyFont="1" applyBorder="1" applyAlignment="1" applyProtection="1">
      <alignment horizontal="center" vertical="center" wrapText="1"/>
    </xf>
    <xf numFmtId="0" fontId="1" fillId="0" borderId="16" xfId="3" applyFill="1" applyBorder="1" applyProtection="1"/>
    <xf numFmtId="37" fontId="1" fillId="0" borderId="17" xfId="3" applyNumberFormat="1" applyFill="1" applyBorder="1" applyProtection="1"/>
    <xf numFmtId="0" fontId="1" fillId="0" borderId="13" xfId="3" applyFill="1" applyBorder="1" applyProtection="1"/>
    <xf numFmtId="170" fontId="0" fillId="0" borderId="12" xfId="6" applyNumberFormat="1" applyFont="1" applyFill="1" applyBorder="1" applyProtection="1"/>
    <xf numFmtId="0" fontId="1" fillId="0" borderId="0" xfId="3" applyFill="1" applyBorder="1" applyProtection="1"/>
    <xf numFmtId="0" fontId="1" fillId="0" borderId="17" xfId="3" applyBorder="1" applyAlignment="1" applyProtection="1">
      <alignment horizontal="center"/>
    </xf>
    <xf numFmtId="0" fontId="1" fillId="0" borderId="17" xfId="3" applyBorder="1" applyProtection="1"/>
    <xf numFmtId="0" fontId="1" fillId="0" borderId="17" xfId="3" applyFill="1" applyBorder="1" applyProtection="1"/>
    <xf numFmtId="0" fontId="1" fillId="0" borderId="16" xfId="3" applyBorder="1" applyProtection="1"/>
    <xf numFmtId="0" fontId="0" fillId="3" borderId="16" xfId="0" applyFill="1" applyBorder="1" applyProtection="1"/>
    <xf numFmtId="170" fontId="0" fillId="0" borderId="12" xfId="6" applyNumberFormat="1" applyFont="1" applyBorder="1" applyProtection="1"/>
    <xf numFmtId="0" fontId="1" fillId="3" borderId="16" xfId="3" applyFill="1" applyBorder="1" applyProtection="1"/>
    <xf numFmtId="0" fontId="1" fillId="0" borderId="28" xfId="3" applyBorder="1" applyProtection="1"/>
    <xf numFmtId="0" fontId="1" fillId="3" borderId="29" xfId="3" applyFill="1" applyBorder="1" applyProtection="1"/>
    <xf numFmtId="0" fontId="1" fillId="0" borderId="14" xfId="3" applyFill="1" applyBorder="1" applyProtection="1"/>
    <xf numFmtId="37" fontId="1" fillId="0" borderId="17" xfId="3" applyNumberFormat="1" applyBorder="1" applyProtection="1"/>
    <xf numFmtId="0" fontId="1" fillId="0" borderId="30" xfId="3" applyFill="1" applyBorder="1" applyProtection="1"/>
    <xf numFmtId="170" fontId="1" fillId="0" borderId="17" xfId="3" applyNumberFormat="1" applyFill="1" applyBorder="1" applyProtection="1"/>
    <xf numFmtId="176" fontId="0" fillId="0" borderId="17" xfId="5" applyNumberFormat="1" applyFont="1" applyBorder="1" applyProtection="1"/>
    <xf numFmtId="0" fontId="1" fillId="0" borderId="31" xfId="3" applyBorder="1" applyProtection="1"/>
    <xf numFmtId="0" fontId="1" fillId="0" borderId="29" xfId="3" applyBorder="1" applyAlignment="1" applyProtection="1">
      <alignment horizontal="center"/>
    </xf>
    <xf numFmtId="0" fontId="1" fillId="0" borderId="28" xfId="3" applyBorder="1" applyAlignment="1" applyProtection="1">
      <alignment horizontal="center"/>
    </xf>
    <xf numFmtId="0" fontId="1" fillId="0" borderId="13" xfId="3" applyBorder="1" applyAlignment="1" applyProtection="1">
      <alignment horizontal="center"/>
    </xf>
    <xf numFmtId="0" fontId="1" fillId="0" borderId="32" xfId="3" applyBorder="1" applyAlignment="1" applyProtection="1">
      <alignment horizontal="center"/>
    </xf>
    <xf numFmtId="0" fontId="1" fillId="0" borderId="33" xfId="3" applyBorder="1" applyAlignment="1" applyProtection="1">
      <alignment horizontal="center"/>
    </xf>
    <xf numFmtId="0" fontId="1" fillId="0" borderId="13" xfId="3" applyBorder="1" applyAlignment="1" applyProtection="1">
      <alignment horizontal="center" wrapText="1"/>
    </xf>
    <xf numFmtId="0" fontId="1" fillId="0" borderId="13" xfId="3" applyFont="1" applyBorder="1" applyAlignment="1" applyProtection="1">
      <alignment horizontal="center"/>
    </xf>
    <xf numFmtId="0" fontId="1" fillId="0" borderId="30" xfId="3" applyBorder="1" applyAlignment="1" applyProtection="1">
      <alignment horizontal="center"/>
    </xf>
    <xf numFmtId="0" fontId="1" fillId="0" borderId="16" xfId="3" applyBorder="1" applyAlignment="1" applyProtection="1">
      <alignment horizontal="center" wrapText="1"/>
    </xf>
    <xf numFmtId="0" fontId="1" fillId="0" borderId="14" xfId="3" applyFont="1" applyBorder="1" applyAlignment="1" applyProtection="1">
      <alignment horizontal="center"/>
    </xf>
    <xf numFmtId="0" fontId="1" fillId="0" borderId="10" xfId="3" applyBorder="1" applyAlignment="1" applyProtection="1">
      <alignment horizontal="center"/>
    </xf>
    <xf numFmtId="0" fontId="1" fillId="3" borderId="0" xfId="3" applyFill="1" applyBorder="1" applyProtection="1"/>
    <xf numFmtId="0" fontId="1" fillId="0" borderId="12" xfId="3" applyBorder="1" applyProtection="1"/>
    <xf numFmtId="37" fontId="1" fillId="3" borderId="0" xfId="3" applyNumberFormat="1" applyFill="1" applyBorder="1" applyProtection="1"/>
    <xf numFmtId="0" fontId="1" fillId="0" borderId="33" xfId="3" applyBorder="1" applyProtection="1"/>
    <xf numFmtId="0" fontId="1" fillId="0" borderId="14" xfId="3" applyBorder="1" applyProtection="1"/>
    <xf numFmtId="170" fontId="0" fillId="0" borderId="17" xfId="6" applyNumberFormat="1" applyFont="1" applyFill="1" applyBorder="1" applyProtection="1"/>
    <xf numFmtId="176" fontId="1" fillId="0" borderId="0" xfId="3" applyNumberFormat="1" applyProtection="1"/>
    <xf numFmtId="0" fontId="20" fillId="0" borderId="17" xfId="3" applyFont="1" applyFill="1" applyBorder="1" applyProtection="1"/>
    <xf numFmtId="0" fontId="1" fillId="0" borderId="34" xfId="3" applyBorder="1" applyAlignment="1" applyProtection="1">
      <alignment horizontal="center"/>
    </xf>
    <xf numFmtId="0" fontId="1" fillId="0" borderId="28" xfId="3" applyBorder="1" applyAlignment="1" applyProtection="1">
      <alignment horizontal="center"/>
    </xf>
    <xf numFmtId="0" fontId="1" fillId="0" borderId="14" xfId="3" applyBorder="1" applyAlignment="1" applyProtection="1">
      <alignment horizontal="center"/>
    </xf>
    <xf numFmtId="0" fontId="1" fillId="0" borderId="14" xfId="3" applyBorder="1" applyAlignment="1" applyProtection="1">
      <alignment horizontal="center" wrapText="1"/>
    </xf>
    <xf numFmtId="170" fontId="0" fillId="2" borderId="17" xfId="6" applyNumberFormat="1" applyFont="1" applyFill="1" applyBorder="1" applyProtection="1">
      <protection locked="0"/>
    </xf>
    <xf numFmtId="173" fontId="0" fillId="2" borderId="17" xfId="2" applyNumberFormat="1" applyFont="1" applyFill="1" applyBorder="1" applyProtection="1">
      <protection locked="0"/>
    </xf>
    <xf numFmtId="170" fontId="0" fillId="0" borderId="17" xfId="6" applyNumberFormat="1" applyFont="1" applyBorder="1" applyProtection="1"/>
    <xf numFmtId="0" fontId="1" fillId="0" borderId="17" xfId="3" applyFont="1" applyBorder="1" applyProtection="1"/>
    <xf numFmtId="0" fontId="1" fillId="0" borderId="10" xfId="3" applyBorder="1" applyProtection="1"/>
    <xf numFmtId="0" fontId="1" fillId="0" borderId="32" xfId="3" applyBorder="1" applyProtection="1"/>
    <xf numFmtId="0" fontId="1" fillId="0" borderId="32" xfId="3" applyFill="1" applyBorder="1" applyProtection="1"/>
    <xf numFmtId="0" fontId="1" fillId="0" borderId="29" xfId="3" applyBorder="1" applyAlignment="1" applyProtection="1">
      <alignment horizontal="center"/>
    </xf>
    <xf numFmtId="0" fontId="1" fillId="0" borderId="32" xfId="3" applyBorder="1" applyAlignment="1" applyProtection="1">
      <alignment horizontal="center"/>
    </xf>
    <xf numFmtId="170" fontId="0" fillId="0" borderId="33" xfId="6" applyNumberFormat="1" applyFont="1" applyFill="1" applyBorder="1" applyProtection="1"/>
    <xf numFmtId="0" fontId="1" fillId="0" borderId="13" xfId="3" applyBorder="1" applyProtection="1"/>
    <xf numFmtId="170" fontId="0" fillId="0" borderId="13" xfId="6" applyNumberFormat="1" applyFont="1" applyBorder="1" applyProtection="1"/>
    <xf numFmtId="0" fontId="1" fillId="0" borderId="28" xfId="3" applyFill="1" applyBorder="1" applyProtection="1"/>
    <xf numFmtId="0" fontId="1" fillId="0" borderId="29" xfId="3" applyBorder="1" applyProtection="1"/>
    <xf numFmtId="0" fontId="1" fillId="0" borderId="12" xfId="3" applyFill="1" applyBorder="1" applyProtection="1"/>
    <xf numFmtId="0" fontId="0" fillId="0" borderId="17" xfId="3" applyFont="1" applyBorder="1" applyProtection="1"/>
    <xf numFmtId="166" fontId="0" fillId="2" borderId="17" xfId="6" applyNumberFormat="1" applyFont="1" applyFill="1" applyBorder="1" applyProtection="1">
      <protection locked="0"/>
    </xf>
    <xf numFmtId="0" fontId="2" fillId="0" borderId="17" xfId="3" applyFont="1" applyFill="1" applyBorder="1" applyProtection="1"/>
    <xf numFmtId="170" fontId="1" fillId="0" borderId="17" xfId="3" applyNumberFormat="1" applyBorder="1" applyProtection="1"/>
    <xf numFmtId="10" fontId="1" fillId="0" borderId="17" xfId="3" applyNumberFormat="1" applyBorder="1" applyProtection="1"/>
    <xf numFmtId="170" fontId="0" fillId="0" borderId="35" xfId="6" applyNumberFormat="1" applyFont="1" applyBorder="1" applyProtection="1"/>
    <xf numFmtId="10" fontId="2" fillId="0" borderId="17" xfId="3" applyNumberFormat="1" applyFont="1" applyBorder="1" applyProtection="1"/>
    <xf numFmtId="0" fontId="2" fillId="0" borderId="16" xfId="3" applyFont="1" applyBorder="1" applyProtection="1"/>
    <xf numFmtId="170" fontId="2" fillId="0" borderId="36" xfId="6" applyNumberFormat="1" applyFont="1" applyBorder="1" applyProtection="1"/>
    <xf numFmtId="0" fontId="1" fillId="0" borderId="16" xfId="3" applyFont="1" applyFill="1" applyBorder="1" applyProtection="1"/>
    <xf numFmtId="0" fontId="2" fillId="0" borderId="0" xfId="3" applyFont="1" applyFill="1" applyBorder="1" applyProtection="1"/>
    <xf numFmtId="0" fontId="1" fillId="8" borderId="17" xfId="3" applyFill="1" applyBorder="1" applyAlignment="1" applyProtection="1">
      <alignment horizontal="center"/>
    </xf>
    <xf numFmtId="176" fontId="1" fillId="0" borderId="17" xfId="3" applyNumberFormat="1" applyBorder="1" applyProtection="1"/>
    <xf numFmtId="177" fontId="1" fillId="0" borderId="0" xfId="3" applyNumberFormat="1" applyProtection="1"/>
    <xf numFmtId="176" fontId="2" fillId="0" borderId="17" xfId="3" applyNumberFormat="1" applyFont="1" applyBorder="1" applyProtection="1"/>
  </cellXfs>
  <cellStyles count="8">
    <cellStyle name="Comma" xfId="1" builtinId="3"/>
    <cellStyle name="Comma 6" xfId="7"/>
    <cellStyle name="Comma 7" xfId="6"/>
    <cellStyle name="Currency" xfId="2" builtinId="4"/>
    <cellStyle name="Currency 5" xfId="5"/>
    <cellStyle name="Normal" xfId="0" builtinId="0"/>
    <cellStyle name="Normal 4 2" xfId="3"/>
    <cellStyle name="Percent 6" xfId="4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M20" sqref="M20"/>
    </sheetView>
  </sheetViews>
  <sheetFormatPr defaultRowHeight="14.4"/>
  <cols>
    <col min="1" max="1" width="9.109375" style="1" customWidth="1"/>
    <col min="2" max="2" width="43.109375" style="1" customWidth="1"/>
    <col min="3" max="3" width="7.109375" style="1" customWidth="1"/>
    <col min="4" max="4" width="10.109375" style="1" customWidth="1"/>
    <col min="5" max="5" width="7.5546875" style="1" customWidth="1"/>
    <col min="6" max="6" width="20.109375" style="1" customWidth="1"/>
    <col min="7" max="7" width="14.5546875" style="1" customWidth="1"/>
    <col min="8" max="10" width="17.44140625" style="1" customWidth="1"/>
    <col min="11" max="11" width="21.109375" style="1" customWidth="1"/>
    <col min="12" max="12" width="16.5546875" style="1" customWidth="1"/>
    <col min="13" max="13" width="12.44140625" style="1" bestFit="1" customWidth="1"/>
  </cols>
  <sheetData>
    <row r="1" spans="1:13">
      <c r="B1" s="2"/>
    </row>
    <row r="2" spans="1:13">
      <c r="A2" s="3"/>
      <c r="B2" s="3"/>
      <c r="C2" s="3"/>
      <c r="D2" s="3"/>
      <c r="E2" s="3"/>
      <c r="K2" s="4" t="s">
        <v>0</v>
      </c>
      <c r="L2" s="5"/>
    </row>
    <row r="3" spans="1:13" ht="17.399999999999999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13">
      <c r="B4" s="8" t="s">
        <v>2</v>
      </c>
      <c r="C4" s="8"/>
      <c r="D4" s="8"/>
      <c r="E4" s="8"/>
      <c r="F4" s="8"/>
      <c r="G4" s="8"/>
      <c r="H4" s="8"/>
      <c r="I4" s="8"/>
      <c r="K4" s="4" t="s">
        <v>3</v>
      </c>
      <c r="L4" s="7"/>
    </row>
    <row r="5" spans="1:13" ht="17.399999999999999">
      <c r="B5" s="8"/>
      <c r="C5" s="8"/>
      <c r="D5" s="8"/>
      <c r="E5" s="8"/>
      <c r="F5" s="8"/>
      <c r="G5" s="8"/>
      <c r="H5" s="8"/>
      <c r="I5" s="8"/>
      <c r="J5" s="6"/>
      <c r="K5" s="4" t="s">
        <v>4</v>
      </c>
      <c r="L5" s="7"/>
    </row>
    <row r="6" spans="1:13" ht="17.399999999999999">
      <c r="B6" s="8"/>
      <c r="C6" s="8"/>
      <c r="D6" s="8"/>
      <c r="E6" s="8"/>
      <c r="F6" s="8"/>
      <c r="G6" s="8"/>
      <c r="H6" s="8"/>
      <c r="I6" s="8"/>
      <c r="J6" s="6"/>
      <c r="K6" s="4" t="s">
        <v>5</v>
      </c>
      <c r="L6" s="5"/>
    </row>
    <row r="7" spans="1:13">
      <c r="B7" s="9"/>
      <c r="K7" s="4"/>
      <c r="L7" s="10"/>
    </row>
    <row r="8" spans="1:13">
      <c r="B8" s="9"/>
      <c r="K8" s="4" t="s">
        <v>6</v>
      </c>
      <c r="L8" s="5"/>
    </row>
    <row r="9" spans="1:13">
      <c r="B9" s="9"/>
      <c r="K9" s="11"/>
    </row>
    <row r="10" spans="1:13" ht="15" thickBot="1">
      <c r="A10" s="12"/>
      <c r="B10" s="13"/>
      <c r="C10" s="14"/>
      <c r="D10" s="15"/>
      <c r="E10" s="15"/>
      <c r="F10" s="15"/>
      <c r="G10" s="12"/>
      <c r="H10" s="12"/>
      <c r="I10" s="12"/>
      <c r="J10" s="12"/>
      <c r="K10" s="12"/>
      <c r="L10" s="15"/>
    </row>
    <row r="11" spans="1:13" ht="15.6">
      <c r="A11" s="16"/>
      <c r="B11" s="17"/>
      <c r="C11" s="18"/>
      <c r="D11" s="18"/>
      <c r="E11" s="18"/>
      <c r="F11" s="18"/>
      <c r="G11" s="19"/>
      <c r="H11" s="18"/>
      <c r="I11" s="18"/>
      <c r="J11" s="18"/>
      <c r="K11" s="18"/>
      <c r="L11" s="20"/>
      <c r="M11" s="21"/>
    </row>
    <row r="12" spans="1:13" ht="15.6">
      <c r="A12" s="20" t="s">
        <v>7</v>
      </c>
      <c r="B12" s="21" t="s">
        <v>8</v>
      </c>
      <c r="C12" s="17"/>
      <c r="D12" s="18"/>
      <c r="E12" s="18"/>
      <c r="F12" s="18"/>
      <c r="G12" s="19"/>
      <c r="H12" s="18"/>
      <c r="I12" s="18"/>
      <c r="J12" s="18"/>
      <c r="K12" s="18"/>
      <c r="L12" s="20"/>
      <c r="M12" s="21"/>
    </row>
    <row r="13" spans="1:13" ht="16.2" thickBot="1">
      <c r="A13" s="16"/>
      <c r="B13" s="17"/>
      <c r="C13" s="18"/>
      <c r="D13" s="18"/>
      <c r="E13" s="18"/>
      <c r="F13" s="18"/>
      <c r="G13" s="19"/>
      <c r="H13" s="18"/>
      <c r="I13" s="18"/>
      <c r="J13" s="18"/>
      <c r="K13" s="18"/>
      <c r="L13" s="20"/>
      <c r="M13" s="21"/>
    </row>
    <row r="14" spans="1:13" ht="15" thickBot="1">
      <c r="A14" s="19"/>
      <c r="B14" s="22" t="s">
        <v>9</v>
      </c>
      <c r="C14" s="22"/>
      <c r="D14" s="22"/>
      <c r="E14" s="22"/>
      <c r="F14" s="19"/>
      <c r="G14" s="23"/>
      <c r="H14" s="24"/>
      <c r="J14" s="25"/>
      <c r="K14" s="25"/>
      <c r="L14" s="11"/>
    </row>
    <row r="15" spans="1:13">
      <c r="A15" s="20"/>
      <c r="B15" s="26" t="s">
        <v>10</v>
      </c>
      <c r="C15" s="22" t="s">
        <v>11</v>
      </c>
      <c r="D15" s="22"/>
      <c r="E15" s="22"/>
      <c r="F15" s="27"/>
      <c r="G15" s="28" t="s">
        <v>12</v>
      </c>
      <c r="H15" s="29" t="s">
        <v>13</v>
      </c>
      <c r="J15" s="30"/>
      <c r="K15" s="30"/>
      <c r="L15" s="11"/>
    </row>
    <row r="16" spans="1:13" ht="15" thickBot="1">
      <c r="A16" s="19"/>
      <c r="B16" s="31"/>
      <c r="C16" s="19"/>
      <c r="D16" s="22"/>
      <c r="E16" s="22"/>
      <c r="F16" s="19"/>
      <c r="G16" s="32"/>
      <c r="H16" s="33"/>
      <c r="J16" s="30"/>
      <c r="K16" s="30"/>
      <c r="L16" s="11"/>
    </row>
    <row r="17" spans="1:13">
      <c r="A17" s="19"/>
      <c r="B17" s="34" t="s">
        <v>14</v>
      </c>
      <c r="C17" s="35" t="s">
        <v>15</v>
      </c>
      <c r="D17" s="36"/>
      <c r="E17" s="37"/>
      <c r="F17" s="38"/>
      <c r="G17" s="39">
        <v>20.09</v>
      </c>
      <c r="H17" s="40"/>
      <c r="J17" s="41"/>
      <c r="K17" s="41"/>
      <c r="L17" s="11"/>
    </row>
    <row r="18" spans="1:13">
      <c r="A18" s="19"/>
      <c r="B18" s="34" t="s">
        <v>16</v>
      </c>
      <c r="C18" s="35" t="s">
        <v>17</v>
      </c>
      <c r="D18" s="36"/>
      <c r="E18" s="37"/>
      <c r="F18" s="42"/>
      <c r="G18" s="43">
        <v>106.94</v>
      </c>
      <c r="H18" s="44">
        <f>(8.5*448/700+11.9*126/700+17.6*126/700)*11+8.5</f>
        <v>126.75000000000001</v>
      </c>
      <c r="J18" s="41"/>
      <c r="K18" s="41"/>
      <c r="L18" s="11"/>
    </row>
    <row r="19" spans="1:13">
      <c r="A19" s="19"/>
      <c r="B19" s="34" t="s">
        <v>18</v>
      </c>
      <c r="C19" s="45"/>
      <c r="D19" s="46"/>
      <c r="E19" s="47"/>
      <c r="F19" s="42"/>
      <c r="G19" s="48"/>
      <c r="H19" s="44"/>
      <c r="J19" s="49"/>
      <c r="K19" s="41"/>
      <c r="L19" s="11"/>
    </row>
    <row r="20" spans="1:13">
      <c r="A20" s="19"/>
      <c r="B20" s="50" t="s">
        <v>19</v>
      </c>
      <c r="C20" s="35" t="s">
        <v>20</v>
      </c>
      <c r="D20" s="36"/>
      <c r="E20" s="37"/>
      <c r="F20" s="42"/>
      <c r="G20" s="51"/>
      <c r="H20" s="52">
        <f>SUM(H17:H19)</f>
        <v>126.75000000000001</v>
      </c>
      <c r="J20" s="53"/>
      <c r="K20" s="53"/>
      <c r="L20" s="11"/>
    </row>
    <row r="21" spans="1:13" ht="15" thickBo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9"/>
    </row>
    <row r="22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15.6">
      <c r="A23" s="20" t="s">
        <v>21</v>
      </c>
      <c r="B23" s="21" t="s">
        <v>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>
      <c r="A24" s="19"/>
      <c r="B24" s="54" t="s">
        <v>23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>
      <c r="A25" s="19"/>
      <c r="B25" s="54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15.6">
      <c r="A26" s="19"/>
      <c r="B26" s="55" t="s">
        <v>24</v>
      </c>
      <c r="E26" s="56"/>
      <c r="F26" s="57"/>
      <c r="G26" s="58" t="s">
        <v>100</v>
      </c>
      <c r="H26" s="58"/>
      <c r="I26" s="58"/>
      <c r="J26" s="58"/>
      <c r="K26" s="58"/>
      <c r="L26" s="58"/>
      <c r="M26" s="19"/>
    </row>
    <row r="27" spans="1:13">
      <c r="A27" s="19"/>
      <c r="B27" s="59" t="s">
        <v>25</v>
      </c>
      <c r="C27" s="60"/>
      <c r="D27" s="60" t="s">
        <v>26</v>
      </c>
      <c r="E27" s="61" t="s">
        <v>27</v>
      </c>
      <c r="F27" s="62"/>
      <c r="G27" s="62"/>
      <c r="H27" s="62"/>
      <c r="I27" s="62"/>
      <c r="J27" s="62"/>
      <c r="K27" s="62"/>
      <c r="L27" s="62"/>
      <c r="M27" s="19"/>
    </row>
    <row r="28" spans="1:13" ht="27">
      <c r="A28" s="19"/>
      <c r="B28" s="63" t="s">
        <v>28</v>
      </c>
      <c r="C28" s="64" t="s">
        <v>29</v>
      </c>
      <c r="D28" s="64" t="s">
        <v>30</v>
      </c>
      <c r="E28" s="65" t="s">
        <v>30</v>
      </c>
      <c r="F28" s="66" t="s">
        <v>31</v>
      </c>
      <c r="G28" s="66"/>
      <c r="H28" s="66" t="s">
        <v>32</v>
      </c>
      <c r="I28" s="66" t="s">
        <v>33</v>
      </c>
      <c r="J28" s="66" t="s">
        <v>34</v>
      </c>
      <c r="K28" s="66" t="s">
        <v>35</v>
      </c>
      <c r="L28" s="67" t="s">
        <v>36</v>
      </c>
      <c r="M28" s="19"/>
    </row>
    <row r="29" spans="1:13">
      <c r="A29" s="19"/>
      <c r="B29" s="68" t="s">
        <v>37</v>
      </c>
      <c r="C29" s="69" t="s">
        <v>38</v>
      </c>
      <c r="D29" s="69">
        <v>4006</v>
      </c>
      <c r="E29" s="70">
        <v>4705</v>
      </c>
      <c r="F29" s="71">
        <v>0</v>
      </c>
      <c r="G29" s="72"/>
      <c r="H29" s="71">
        <v>14591747.246729575</v>
      </c>
      <c r="I29" s="71">
        <v>481903320.31180269</v>
      </c>
      <c r="J29" s="73">
        <f t="shared" ref="J29:J37" si="0">+$G$17/1000</f>
        <v>2.009E-2</v>
      </c>
      <c r="K29" s="73">
        <f t="shared" ref="K29:K37" si="1">+$H$20/1000</f>
        <v>0.12675</v>
      </c>
      <c r="L29" s="74">
        <f t="shared" ref="L29:L37" si="2">(+F29+H29)*J29+(I29*K29)</f>
        <v>61374394.051707789</v>
      </c>
      <c r="M29" s="19"/>
    </row>
    <row r="30" spans="1:13">
      <c r="A30" s="19"/>
      <c r="B30" s="68" t="s">
        <v>39</v>
      </c>
      <c r="C30" s="69" t="s">
        <v>38</v>
      </c>
      <c r="D30" s="69">
        <v>4010</v>
      </c>
      <c r="E30" s="70">
        <v>4705</v>
      </c>
      <c r="F30" s="71">
        <v>0</v>
      </c>
      <c r="G30" s="72"/>
      <c r="H30" s="71">
        <v>19610270.145717047</v>
      </c>
      <c r="I30" s="71">
        <v>109095925.28603294</v>
      </c>
      <c r="J30" s="73">
        <f t="shared" si="0"/>
        <v>2.009E-2</v>
      </c>
      <c r="K30" s="73">
        <f t="shared" si="1"/>
        <v>0.12675</v>
      </c>
      <c r="L30" s="74">
        <f t="shared" si="2"/>
        <v>14221878.857232131</v>
      </c>
      <c r="M30" s="19"/>
    </row>
    <row r="31" spans="1:13">
      <c r="A31" s="19"/>
      <c r="B31" s="68" t="s">
        <v>40</v>
      </c>
      <c r="C31" s="69" t="s">
        <v>38</v>
      </c>
      <c r="D31" s="69">
        <v>4035</v>
      </c>
      <c r="E31" s="70">
        <v>4705</v>
      </c>
      <c r="F31" s="71">
        <v>9245104.1276442446</v>
      </c>
      <c r="G31" s="72"/>
      <c r="H31" s="71">
        <v>213064122.01676619</v>
      </c>
      <c r="I31" s="71">
        <v>105726242.36939764</v>
      </c>
      <c r="J31" s="73">
        <f t="shared" si="0"/>
        <v>2.009E-2</v>
      </c>
      <c r="K31" s="73">
        <f t="shared" si="1"/>
        <v>0.12675</v>
      </c>
      <c r="L31" s="74">
        <f t="shared" si="2"/>
        <v>17866993.573562354</v>
      </c>
      <c r="M31" s="19"/>
    </row>
    <row r="32" spans="1:13">
      <c r="A32" s="19"/>
      <c r="B32" s="68" t="s">
        <v>41</v>
      </c>
      <c r="C32" s="69" t="s">
        <v>38</v>
      </c>
      <c r="D32" s="69">
        <v>4010</v>
      </c>
      <c r="E32" s="70">
        <v>4705</v>
      </c>
      <c r="F32" s="71">
        <v>42028614.867001474</v>
      </c>
      <c r="G32" s="72"/>
      <c r="H32" s="71">
        <v>34437096.547519647</v>
      </c>
      <c r="I32" s="71">
        <v>0</v>
      </c>
      <c r="J32" s="73">
        <f t="shared" si="0"/>
        <v>2.009E-2</v>
      </c>
      <c r="K32" s="73">
        <f t="shared" si="1"/>
        <v>0.12675</v>
      </c>
      <c r="L32" s="74">
        <f t="shared" si="2"/>
        <v>1536196.1423177295</v>
      </c>
      <c r="M32" s="19"/>
    </row>
    <row r="33" spans="1:13">
      <c r="A33" s="19"/>
      <c r="B33" s="68" t="s">
        <v>42</v>
      </c>
      <c r="C33" s="69" t="s">
        <v>38</v>
      </c>
      <c r="D33" s="69">
        <v>4025</v>
      </c>
      <c r="E33" s="70">
        <v>4705</v>
      </c>
      <c r="F33" s="71">
        <v>38878939</v>
      </c>
      <c r="G33" s="72"/>
      <c r="H33" s="71">
        <v>0</v>
      </c>
      <c r="I33" s="71">
        <v>0</v>
      </c>
      <c r="J33" s="73">
        <f t="shared" si="0"/>
        <v>2.009E-2</v>
      </c>
      <c r="K33" s="73">
        <f t="shared" si="1"/>
        <v>0.12675</v>
      </c>
      <c r="L33" s="74">
        <f t="shared" si="2"/>
        <v>781077.88451</v>
      </c>
      <c r="M33" s="19"/>
    </row>
    <row r="34" spans="1:13">
      <c r="A34" s="19"/>
      <c r="B34" s="68" t="s">
        <v>43</v>
      </c>
      <c r="C34" s="69" t="s">
        <v>38</v>
      </c>
      <c r="D34" s="69">
        <v>4025</v>
      </c>
      <c r="E34" s="70">
        <v>4705</v>
      </c>
      <c r="F34" s="71">
        <v>0</v>
      </c>
      <c r="G34" s="72"/>
      <c r="H34" s="71">
        <v>0</v>
      </c>
      <c r="I34" s="71">
        <v>2506366.7821648996</v>
      </c>
      <c r="J34" s="73">
        <f t="shared" si="0"/>
        <v>2.009E-2</v>
      </c>
      <c r="K34" s="73">
        <f t="shared" si="1"/>
        <v>0.12675</v>
      </c>
      <c r="L34" s="74">
        <f t="shared" si="2"/>
        <v>317681.98963940103</v>
      </c>
      <c r="M34" s="19"/>
    </row>
    <row r="35" spans="1:13">
      <c r="A35" s="19"/>
      <c r="B35" s="68" t="s">
        <v>44</v>
      </c>
      <c r="C35" s="69" t="s">
        <v>38</v>
      </c>
      <c r="D35" s="69">
        <v>4025</v>
      </c>
      <c r="E35" s="70">
        <v>4705</v>
      </c>
      <c r="F35" s="71">
        <v>0</v>
      </c>
      <c r="G35" s="72"/>
      <c r="H35" s="71">
        <v>0</v>
      </c>
      <c r="I35" s="71">
        <v>24360.100098803348</v>
      </c>
      <c r="J35" s="73">
        <f t="shared" si="0"/>
        <v>2.009E-2</v>
      </c>
      <c r="K35" s="73">
        <f t="shared" si="1"/>
        <v>0.12675</v>
      </c>
      <c r="L35" s="74">
        <f t="shared" si="2"/>
        <v>3087.6426875233246</v>
      </c>
      <c r="M35" s="19"/>
    </row>
    <row r="36" spans="1:13">
      <c r="A36" s="19"/>
      <c r="B36" s="68" t="s">
        <v>45</v>
      </c>
      <c r="C36" s="69" t="s">
        <v>38</v>
      </c>
      <c r="D36" s="69">
        <v>4025</v>
      </c>
      <c r="E36" s="70">
        <v>4705</v>
      </c>
      <c r="F36" s="68"/>
      <c r="G36" s="72"/>
      <c r="H36" s="71">
        <v>4555628.4416360287</v>
      </c>
      <c r="I36" s="71">
        <v>0</v>
      </c>
      <c r="J36" s="73">
        <f t="shared" si="0"/>
        <v>2.009E-2</v>
      </c>
      <c r="K36" s="73">
        <f t="shared" si="1"/>
        <v>0.12675</v>
      </c>
      <c r="L36" s="74">
        <f t="shared" si="2"/>
        <v>91522.575392467814</v>
      </c>
      <c r="M36" s="19"/>
    </row>
    <row r="37" spans="1:13">
      <c r="A37" s="19"/>
      <c r="B37" s="68"/>
      <c r="C37" s="69" t="s">
        <v>38</v>
      </c>
      <c r="D37" s="69">
        <v>4025</v>
      </c>
      <c r="E37" s="70">
        <v>4705</v>
      </c>
      <c r="F37" s="68"/>
      <c r="G37" s="72"/>
      <c r="H37" s="68"/>
      <c r="I37" s="68"/>
      <c r="J37" s="73">
        <f t="shared" si="0"/>
        <v>2.009E-2</v>
      </c>
      <c r="K37" s="73">
        <f t="shared" si="1"/>
        <v>0.12675</v>
      </c>
      <c r="L37" s="74">
        <f t="shared" si="2"/>
        <v>0</v>
      </c>
      <c r="M37" s="19"/>
    </row>
    <row r="38" spans="1:13">
      <c r="A38" s="19"/>
      <c r="B38" s="75" t="s">
        <v>46</v>
      </c>
      <c r="C38" s="76"/>
      <c r="D38" s="77"/>
      <c r="E38" s="78"/>
      <c r="F38" s="79">
        <f>SUM(F29:F37)</f>
        <v>90152657.994645715</v>
      </c>
      <c r="G38" s="80"/>
      <c r="H38" s="79">
        <f>SUM(H29:H37)</f>
        <v>286258864.39836848</v>
      </c>
      <c r="I38" s="81">
        <f>SUM(I29:I37)</f>
        <v>699256214.84949708</v>
      </c>
      <c r="J38" s="81"/>
      <c r="K38" s="79"/>
      <c r="L38" s="82">
        <f>SUM(L29:L37)</f>
        <v>96192832.717049405</v>
      </c>
      <c r="M38" s="19"/>
    </row>
    <row r="39" spans="1:13">
      <c r="A39" s="19"/>
      <c r="B39" s="54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>
      <c r="A40" s="19"/>
      <c r="B40" s="83"/>
      <c r="C40" s="19"/>
      <c r="D40" s="19"/>
      <c r="E40" s="19"/>
      <c r="F40" s="84"/>
      <c r="G40" s="84"/>
      <c r="H40" s="19"/>
      <c r="I40" s="19"/>
      <c r="J40" s="19"/>
      <c r="K40" s="19"/>
      <c r="L40" s="19"/>
      <c r="M40" s="19"/>
    </row>
    <row r="41" spans="1:13" ht="15.6">
      <c r="A41" s="19"/>
      <c r="B41" s="55" t="s">
        <v>47</v>
      </c>
      <c r="E41" s="56"/>
      <c r="F41" s="85"/>
      <c r="G41" s="86">
        <v>2021</v>
      </c>
      <c r="H41" s="87"/>
      <c r="I41" s="87"/>
      <c r="J41" s="88"/>
      <c r="K41" s="87"/>
      <c r="L41" s="87"/>
      <c r="M41" s="19"/>
    </row>
    <row r="42" spans="1:13">
      <c r="A42" s="19"/>
      <c r="B42" s="59" t="s">
        <v>25</v>
      </c>
      <c r="C42" s="64"/>
      <c r="D42" s="60" t="s">
        <v>26</v>
      </c>
      <c r="E42" s="60" t="s">
        <v>27</v>
      </c>
      <c r="F42" s="60" t="s">
        <v>36</v>
      </c>
      <c r="G42" s="60" t="s">
        <v>48</v>
      </c>
      <c r="H42" s="72"/>
      <c r="I42" s="72"/>
      <c r="J42" s="89"/>
      <c r="K42" s="90" t="s">
        <v>49</v>
      </c>
      <c r="L42" s="60" t="s">
        <v>36</v>
      </c>
      <c r="M42" s="19"/>
    </row>
    <row r="43" spans="1:13">
      <c r="A43" s="19"/>
      <c r="B43" s="68" t="s">
        <v>40</v>
      </c>
      <c r="C43" s="69"/>
      <c r="D43" s="69">
        <v>4035</v>
      </c>
      <c r="E43" s="69">
        <v>4707</v>
      </c>
      <c r="F43" s="91">
        <v>708755.67342304275</v>
      </c>
      <c r="G43" s="71">
        <v>9245104.1276442446</v>
      </c>
      <c r="H43" s="72"/>
      <c r="I43" s="72"/>
      <c r="J43" s="92"/>
      <c r="K43" s="93">
        <v>7.6662811325592023E-2</v>
      </c>
      <c r="L43" s="94">
        <f>+K43*G43</f>
        <v>708755.67342304275</v>
      </c>
      <c r="M43" s="19"/>
    </row>
    <row r="44" spans="1:13">
      <c r="A44" s="19"/>
      <c r="B44" s="68" t="s">
        <v>41</v>
      </c>
      <c r="C44" s="69"/>
      <c r="D44" s="69">
        <v>4010</v>
      </c>
      <c r="E44" s="69">
        <v>4707</v>
      </c>
      <c r="F44" s="91">
        <v>3316004.6081652828</v>
      </c>
      <c r="G44" s="71">
        <v>42028614.867001474</v>
      </c>
      <c r="H44" s="72"/>
      <c r="I44" s="72"/>
      <c r="J44" s="92"/>
      <c r="K44" s="93">
        <v>7.8898736459878549E-2</v>
      </c>
      <c r="L44" s="94">
        <f>+K44*G44</f>
        <v>3316004.6081652828</v>
      </c>
      <c r="M44" s="19"/>
    </row>
    <row r="45" spans="1:13">
      <c r="A45" s="19"/>
      <c r="B45" s="68" t="s">
        <v>42</v>
      </c>
      <c r="C45" s="69"/>
      <c r="D45" s="69">
        <v>4010</v>
      </c>
      <c r="E45" s="69">
        <v>4707</v>
      </c>
      <c r="F45" s="91">
        <v>3050244.8386488869</v>
      </c>
      <c r="G45" s="71">
        <v>38878939</v>
      </c>
      <c r="H45" s="72"/>
      <c r="I45" s="72"/>
      <c r="J45" s="95"/>
      <c r="K45" s="93">
        <v>7.8454940312257151E-2</v>
      </c>
      <c r="L45" s="94"/>
      <c r="M45" s="19"/>
    </row>
    <row r="46" spans="1:13">
      <c r="A46" s="19"/>
      <c r="F46" s="96">
        <f>+F43+F44</f>
        <v>4024760.2815883253</v>
      </c>
      <c r="G46" s="97">
        <f>SUM(G43:G45)</f>
        <v>90152657.994645715</v>
      </c>
      <c r="H46" s="72"/>
      <c r="I46" s="72"/>
      <c r="J46" s="98"/>
      <c r="K46" s="99"/>
      <c r="L46" s="100">
        <f>SUM(L43:L45)</f>
        <v>4024760.2815883253</v>
      </c>
      <c r="M46" s="19"/>
    </row>
    <row r="47" spans="1:13">
      <c r="A47" s="19"/>
      <c r="B47" s="19"/>
      <c r="C47" s="19"/>
      <c r="D47" s="19"/>
      <c r="E47" s="19"/>
      <c r="F47" s="19"/>
      <c r="G47" s="19"/>
      <c r="H47" s="19"/>
      <c r="I47" s="19"/>
      <c r="J47" s="101"/>
      <c r="K47" s="19"/>
      <c r="L47" s="19"/>
      <c r="M47" s="19"/>
    </row>
    <row r="48" spans="1:13" ht="15.6">
      <c r="B48" s="55" t="s">
        <v>50</v>
      </c>
      <c r="E48" s="56"/>
      <c r="F48" s="57"/>
      <c r="G48" s="58">
        <f>G41</f>
        <v>2021</v>
      </c>
      <c r="H48" s="58"/>
      <c r="I48" s="58"/>
      <c r="J48" s="58"/>
      <c r="K48" s="58"/>
      <c r="L48" s="58"/>
    </row>
    <row r="49" spans="1:13">
      <c r="A49" s="102"/>
      <c r="B49" s="59" t="s">
        <v>25</v>
      </c>
      <c r="C49" s="60"/>
      <c r="D49" s="60" t="s">
        <v>26</v>
      </c>
      <c r="E49" s="61" t="s">
        <v>27</v>
      </c>
      <c r="F49" s="62"/>
      <c r="G49" s="62"/>
      <c r="H49" s="62"/>
      <c r="I49" s="62"/>
      <c r="J49" s="62"/>
      <c r="K49" s="62"/>
      <c r="L49" s="67" t="s">
        <v>36</v>
      </c>
      <c r="M49" s="102"/>
    </row>
    <row r="50" spans="1:13" ht="27">
      <c r="B50" s="63" t="s">
        <v>28</v>
      </c>
      <c r="C50" s="64" t="s">
        <v>29</v>
      </c>
      <c r="D50" s="64" t="s">
        <v>30</v>
      </c>
      <c r="E50" s="65" t="s">
        <v>30</v>
      </c>
      <c r="F50" s="103"/>
      <c r="G50" s="103"/>
      <c r="H50" s="66" t="s">
        <v>51</v>
      </c>
      <c r="I50" s="104"/>
      <c r="J50" s="104"/>
      <c r="K50" s="103" t="s">
        <v>52</v>
      </c>
    </row>
    <row r="51" spans="1:13">
      <c r="B51" s="105" t="str">
        <f>IF(B29=0,"",B29)</f>
        <v>Residential</v>
      </c>
      <c r="C51" s="69" t="s">
        <v>38</v>
      </c>
      <c r="D51" s="69">
        <v>4006</v>
      </c>
      <c r="E51" s="69">
        <v>4707</v>
      </c>
      <c r="F51" s="106"/>
      <c r="G51" s="106"/>
      <c r="H51" s="107">
        <f>+H29</f>
        <v>14591747.246729575</v>
      </c>
      <c r="I51" s="106"/>
      <c r="J51" s="106"/>
      <c r="K51" s="108">
        <f t="shared" ref="K51:K56" si="3">+$G$18/1000</f>
        <v>0.10693999999999999</v>
      </c>
      <c r="L51" s="74">
        <f t="shared" ref="L51:L56" si="4">+K51*H51</f>
        <v>1560441.4505652606</v>
      </c>
    </row>
    <row r="52" spans="1:13">
      <c r="B52" s="105" t="str">
        <f t="shared" ref="B52:B58" si="5">IF(B30=0,"",B30)</f>
        <v>GS &lt; 50 KW</v>
      </c>
      <c r="C52" s="69" t="s">
        <v>38</v>
      </c>
      <c r="D52" s="69">
        <v>4010</v>
      </c>
      <c r="E52" s="69">
        <v>4707</v>
      </c>
      <c r="F52" s="106"/>
      <c r="G52" s="106"/>
      <c r="H52" s="107">
        <f t="shared" ref="H52:H56" si="6">+H30</f>
        <v>19610270.145717047</v>
      </c>
      <c r="I52" s="106"/>
      <c r="J52" s="106"/>
      <c r="K52" s="108">
        <f t="shared" si="3"/>
        <v>0.10693999999999999</v>
      </c>
      <c r="L52" s="74">
        <f t="shared" si="4"/>
        <v>2097122.2893829809</v>
      </c>
    </row>
    <row r="53" spans="1:13">
      <c r="B53" s="105" t="str">
        <f t="shared" si="5"/>
        <v>GS 50 to 999 KW</v>
      </c>
      <c r="C53" s="69" t="s">
        <v>38</v>
      </c>
      <c r="D53" s="69">
        <v>4035</v>
      </c>
      <c r="E53" s="69">
        <v>4707</v>
      </c>
      <c r="F53" s="106"/>
      <c r="G53" s="106"/>
      <c r="H53" s="107">
        <f t="shared" si="6"/>
        <v>213064122.01676619</v>
      </c>
      <c r="I53" s="106"/>
      <c r="J53" s="106"/>
      <c r="K53" s="108">
        <f t="shared" si="3"/>
        <v>0.10693999999999999</v>
      </c>
      <c r="L53" s="74">
        <f t="shared" si="4"/>
        <v>22785077.208472975</v>
      </c>
    </row>
    <row r="54" spans="1:13">
      <c r="B54" s="105" t="str">
        <f t="shared" si="5"/>
        <v xml:space="preserve">GS 1000 to 4999 KW </v>
      </c>
      <c r="C54" s="69" t="s">
        <v>38</v>
      </c>
      <c r="D54" s="69">
        <v>4010</v>
      </c>
      <c r="E54" s="69">
        <v>4707</v>
      </c>
      <c r="F54" s="106"/>
      <c r="G54" s="106"/>
      <c r="H54" s="107">
        <f t="shared" si="6"/>
        <v>34437096.547519647</v>
      </c>
      <c r="I54" s="106"/>
      <c r="J54" s="106"/>
      <c r="K54" s="108">
        <f t="shared" si="3"/>
        <v>0.10693999999999999</v>
      </c>
      <c r="L54" s="74">
        <f t="shared" si="4"/>
        <v>3682703.1047917507</v>
      </c>
    </row>
    <row r="55" spans="1:13">
      <c r="B55" s="105" t="str">
        <f t="shared" si="5"/>
        <v>Large User</v>
      </c>
      <c r="C55" s="69" t="s">
        <v>38</v>
      </c>
      <c r="D55" s="69">
        <v>4025</v>
      </c>
      <c r="E55" s="69">
        <v>4707</v>
      </c>
      <c r="F55" s="106"/>
      <c r="G55" s="106"/>
      <c r="H55" s="107">
        <f t="shared" si="6"/>
        <v>0</v>
      </c>
      <c r="I55" s="106"/>
      <c r="J55" s="106"/>
      <c r="K55" s="108">
        <f t="shared" si="3"/>
        <v>0.10693999999999999</v>
      </c>
      <c r="L55" s="74">
        <f t="shared" si="4"/>
        <v>0</v>
      </c>
    </row>
    <row r="56" spans="1:13">
      <c r="B56" s="105" t="str">
        <f t="shared" si="5"/>
        <v xml:space="preserve">Unmetered </v>
      </c>
      <c r="C56" s="69" t="s">
        <v>38</v>
      </c>
      <c r="D56" s="69">
        <v>4025</v>
      </c>
      <c r="E56" s="69">
        <v>4707</v>
      </c>
      <c r="F56" s="106"/>
      <c r="G56" s="106"/>
      <c r="H56" s="107">
        <f t="shared" si="6"/>
        <v>0</v>
      </c>
      <c r="I56" s="106"/>
      <c r="J56" s="106"/>
      <c r="K56" s="108">
        <f t="shared" si="3"/>
        <v>0.10693999999999999</v>
      </c>
      <c r="L56" s="74">
        <f t="shared" si="4"/>
        <v>0</v>
      </c>
    </row>
    <row r="57" spans="1:13">
      <c r="B57" s="105" t="str">
        <f t="shared" si="5"/>
        <v>Sentinel</v>
      </c>
      <c r="C57" s="69" t="s">
        <v>38</v>
      </c>
      <c r="D57" s="69">
        <v>4025</v>
      </c>
      <c r="E57" s="69">
        <v>4707</v>
      </c>
      <c r="F57" s="106"/>
      <c r="G57" s="106"/>
      <c r="H57" s="107"/>
      <c r="I57" s="106"/>
      <c r="J57" s="106"/>
      <c r="K57" s="109"/>
      <c r="L57" s="74">
        <f t="shared" ref="L57" si="7">+K58*H58</f>
        <v>0</v>
      </c>
    </row>
    <row r="58" spans="1:13">
      <c r="B58" s="105" t="str">
        <f t="shared" si="5"/>
        <v>Street Lighting</v>
      </c>
      <c r="C58" s="69" t="s">
        <v>38</v>
      </c>
      <c r="D58" s="69">
        <v>4025</v>
      </c>
      <c r="E58" s="69">
        <v>4707</v>
      </c>
      <c r="F58" s="106"/>
      <c r="G58" s="106"/>
      <c r="H58" s="110"/>
      <c r="I58" s="106"/>
      <c r="J58" s="106"/>
      <c r="K58" s="109"/>
      <c r="L58" s="74">
        <f>+K59*H59</f>
        <v>0</v>
      </c>
    </row>
    <row r="59" spans="1:13">
      <c r="B59" s="105" t="s">
        <v>53</v>
      </c>
      <c r="C59" s="111"/>
      <c r="D59" s="111"/>
      <c r="E59" s="112"/>
      <c r="F59" s="113"/>
      <c r="G59" s="113"/>
      <c r="H59" s="114">
        <f>SUM(H51:H58)</f>
        <v>281703235.95673245</v>
      </c>
      <c r="I59" s="113"/>
      <c r="J59" s="113"/>
      <c r="K59" s="109"/>
      <c r="L59" s="82"/>
    </row>
    <row r="60" spans="1:13">
      <c r="B60" s="59" t="s">
        <v>46</v>
      </c>
      <c r="C60" s="115"/>
      <c r="D60" s="116"/>
      <c r="E60" s="117"/>
      <c r="F60" s="118"/>
      <c r="G60" s="119"/>
      <c r="H60" s="118"/>
      <c r="I60" s="118"/>
      <c r="J60" s="118"/>
      <c r="K60" s="79"/>
      <c r="L60" s="120">
        <f>SUM(L51:L58)</f>
        <v>30125344.053212967</v>
      </c>
    </row>
    <row r="61" spans="1:13">
      <c r="B61" s="121"/>
      <c r="C61" s="122"/>
      <c r="D61" s="123"/>
      <c r="E61" s="123"/>
      <c r="F61" s="124"/>
      <c r="G61" s="125"/>
      <c r="H61" s="124"/>
      <c r="I61" s="124"/>
      <c r="J61" s="124"/>
      <c r="K61" s="124"/>
      <c r="L61" s="126"/>
    </row>
    <row r="62" spans="1:13">
      <c r="F62" s="11"/>
      <c r="L62" s="127"/>
    </row>
    <row r="63" spans="1:13">
      <c r="A63" s="1" t="s">
        <v>54</v>
      </c>
      <c r="F63" s="128"/>
      <c r="G63" s="128"/>
      <c r="H63" s="128"/>
      <c r="I63" s="128"/>
      <c r="J63" s="128"/>
      <c r="K63" s="128"/>
    </row>
    <row r="64" spans="1:13">
      <c r="A64" s="129" t="s">
        <v>55</v>
      </c>
      <c r="G64" s="130"/>
      <c r="H64" s="130"/>
      <c r="I64" s="130"/>
      <c r="J64" s="130"/>
      <c r="K64" s="130"/>
    </row>
    <row r="65" spans="1:8">
      <c r="A65" s="1" t="s">
        <v>56</v>
      </c>
      <c r="H65" s="11"/>
    </row>
    <row r="66" spans="1:8">
      <c r="H66" s="11"/>
    </row>
  </sheetData>
  <mergeCells count="8">
    <mergeCell ref="G41:L41"/>
    <mergeCell ref="G48:L48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workbookViewId="0">
      <pane ySplit="10" topLeftCell="A104" activePane="bottomLeft" state="frozen"/>
      <selection pane="bottomLeft" activeCell="A126" sqref="A126"/>
    </sheetView>
  </sheetViews>
  <sheetFormatPr defaultRowHeight="14.4"/>
  <cols>
    <col min="1" max="1" width="26" style="1" bestFit="1" customWidth="1"/>
    <col min="2" max="2" width="8" style="1" bestFit="1" customWidth="1"/>
    <col min="3" max="3" width="1.5546875" style="1" customWidth="1"/>
    <col min="4" max="4" width="43" style="1" customWidth="1"/>
    <col min="5" max="5" width="15.109375" style="1" bestFit="1" customWidth="1"/>
    <col min="6" max="6" width="14.44140625" style="1" customWidth="1"/>
    <col min="7" max="7" width="2.109375" style="1" customWidth="1"/>
    <col min="8" max="8" width="19.109375" style="1" customWidth="1"/>
    <col min="9" max="9" width="16.44140625" style="1" customWidth="1"/>
    <col min="10" max="10" width="13.109375" style="1" customWidth="1"/>
    <col min="11" max="11" width="16.109375" style="1" bestFit="1" customWidth="1"/>
    <col min="12" max="12" width="12" style="1" bestFit="1" customWidth="1"/>
  </cols>
  <sheetData>
    <row r="1" spans="1:11">
      <c r="A1" s="131" t="s">
        <v>57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>
      <c r="A2" s="132"/>
      <c r="B2" s="132"/>
      <c r="C2" s="132"/>
      <c r="D2" s="132"/>
      <c r="E2" s="132"/>
      <c r="F2" s="132"/>
      <c r="G2" s="132"/>
      <c r="H2" s="132"/>
      <c r="I2" s="132"/>
      <c r="J2" s="4" t="s">
        <v>0</v>
      </c>
      <c r="K2" s="5"/>
    </row>
    <row r="3" spans="1:11">
      <c r="A3" s="132"/>
      <c r="B3" s="132"/>
      <c r="C3" s="132"/>
      <c r="D3" s="132"/>
      <c r="E3" s="132"/>
      <c r="F3" s="132"/>
      <c r="G3" s="132"/>
      <c r="H3" s="132"/>
      <c r="I3" s="132"/>
      <c r="J3" s="4" t="s">
        <v>1</v>
      </c>
      <c r="K3" s="5"/>
    </row>
    <row r="4" spans="1:11">
      <c r="A4" s="132"/>
      <c r="B4" s="132"/>
      <c r="C4" s="132"/>
      <c r="D4" s="132"/>
      <c r="E4" s="132"/>
      <c r="F4" s="132"/>
      <c r="G4" s="132"/>
      <c r="H4" s="132"/>
      <c r="I4" s="132"/>
      <c r="J4" s="4" t="s">
        <v>3</v>
      </c>
      <c r="K4" s="5"/>
    </row>
    <row r="5" spans="1:11">
      <c r="A5" s="132"/>
      <c r="B5" s="132"/>
      <c r="C5" s="132"/>
      <c r="D5" s="132"/>
      <c r="E5" s="132"/>
      <c r="F5" s="132"/>
      <c r="G5" s="132"/>
      <c r="H5" s="132"/>
      <c r="I5" s="132"/>
      <c r="J5" s="4" t="s">
        <v>4</v>
      </c>
      <c r="K5" s="5"/>
    </row>
    <row r="6" spans="1:11">
      <c r="A6" s="132"/>
      <c r="B6" s="132"/>
      <c r="C6" s="132"/>
      <c r="D6" s="132"/>
      <c r="E6" s="132"/>
      <c r="F6" s="132"/>
      <c r="G6" s="132"/>
      <c r="H6" s="132"/>
      <c r="I6" s="132"/>
      <c r="J6" s="4" t="s">
        <v>5</v>
      </c>
      <c r="K6" s="5"/>
    </row>
    <row r="7" spans="1:11">
      <c r="A7" s="1" t="s">
        <v>58</v>
      </c>
      <c r="J7" s="4"/>
      <c r="K7" s="10"/>
    </row>
    <row r="8" spans="1:11">
      <c r="A8" s="1" t="s">
        <v>59</v>
      </c>
      <c r="J8" s="4" t="s">
        <v>6</v>
      </c>
      <c r="K8" s="5"/>
    </row>
    <row r="9" spans="1:11">
      <c r="A9" s="11" t="s">
        <v>60</v>
      </c>
      <c r="E9" s="133"/>
      <c r="F9" s="133"/>
      <c r="G9" s="126"/>
      <c r="H9" s="126"/>
      <c r="I9" s="133"/>
      <c r="J9" s="133"/>
    </row>
    <row r="10" spans="1:11">
      <c r="A10" s="11"/>
      <c r="B10" s="134"/>
      <c r="C10" s="135"/>
      <c r="D10" s="136" t="s">
        <v>100</v>
      </c>
      <c r="E10" s="137" t="s">
        <v>13</v>
      </c>
      <c r="F10" s="137"/>
      <c r="G10" s="138"/>
      <c r="H10" s="136" t="str">
        <f>D10</f>
        <v>2021 Test Year</v>
      </c>
      <c r="I10" s="137" t="s">
        <v>12</v>
      </c>
      <c r="J10" s="137"/>
      <c r="K10" s="139" t="s">
        <v>61</v>
      </c>
    </row>
    <row r="11" spans="1:11">
      <c r="A11" s="140" t="s">
        <v>62</v>
      </c>
      <c r="B11" s="141" t="s">
        <v>63</v>
      </c>
      <c r="C11" s="142"/>
      <c r="D11" s="143" t="s">
        <v>64</v>
      </c>
      <c r="E11" s="143" t="s">
        <v>65</v>
      </c>
      <c r="F11" s="67" t="s">
        <v>66</v>
      </c>
      <c r="G11" s="126"/>
      <c r="H11" s="143" t="s">
        <v>64</v>
      </c>
      <c r="I11" s="143" t="s">
        <v>65</v>
      </c>
      <c r="J11" s="67" t="s">
        <v>66</v>
      </c>
      <c r="K11" s="144" t="s">
        <v>67</v>
      </c>
    </row>
    <row r="12" spans="1:11">
      <c r="A12" s="145" t="s">
        <v>68</v>
      </c>
      <c r="B12" s="146"/>
      <c r="C12" s="147"/>
      <c r="D12" s="148"/>
      <c r="E12" s="149"/>
      <c r="F12" s="150">
        <f>D12*E12</f>
        <v>0</v>
      </c>
      <c r="G12" s="151"/>
      <c r="H12" s="148"/>
      <c r="I12" s="149"/>
      <c r="J12" s="150"/>
      <c r="K12" s="152"/>
    </row>
    <row r="13" spans="1:11">
      <c r="A13" s="153" t="s">
        <v>37</v>
      </c>
      <c r="B13" s="154" t="s">
        <v>38</v>
      </c>
      <c r="C13" s="155"/>
      <c r="D13" s="148">
        <v>481903320.31180269</v>
      </c>
      <c r="E13" s="156"/>
      <c r="F13" s="157">
        <v>61081245.849520989</v>
      </c>
      <c r="G13" s="11"/>
      <c r="H13" s="148">
        <v>14591747.246729575</v>
      </c>
      <c r="I13" s="158"/>
      <c r="J13" s="150">
        <v>293148.20218679716</v>
      </c>
      <c r="K13" s="152"/>
    </row>
    <row r="14" spans="1:11">
      <c r="A14" s="153" t="s">
        <v>39</v>
      </c>
      <c r="B14" s="154" t="s">
        <v>38</v>
      </c>
      <c r="C14" s="155"/>
      <c r="D14" s="148">
        <v>109095925.28603294</v>
      </c>
      <c r="E14" s="156"/>
      <c r="F14" s="157">
        <v>13827908.530004676</v>
      </c>
      <c r="G14" s="11"/>
      <c r="H14" s="148">
        <v>19610270.145717047</v>
      </c>
      <c r="I14" s="158"/>
      <c r="J14" s="150">
        <v>393970.32722745551</v>
      </c>
      <c r="K14" s="152"/>
    </row>
    <row r="15" spans="1:11">
      <c r="A15" s="153" t="s">
        <v>40</v>
      </c>
      <c r="B15" s="154" t="s">
        <v>69</v>
      </c>
      <c r="C15" s="155"/>
      <c r="D15" s="148">
        <v>105726242.36939764</v>
      </c>
      <c r="E15" s="156"/>
      <c r="F15" s="157">
        <v>13400801.22032115</v>
      </c>
      <c r="G15" s="11"/>
      <c r="H15" s="148">
        <v>222309226.14441043</v>
      </c>
      <c r="I15" s="158"/>
      <c r="J15" s="150">
        <v>4466192.3532412052</v>
      </c>
      <c r="K15" s="152"/>
    </row>
    <row r="16" spans="1:11">
      <c r="A16" s="153" t="s">
        <v>41</v>
      </c>
      <c r="B16" s="154" t="s">
        <v>69</v>
      </c>
      <c r="C16" s="155"/>
      <c r="D16" s="148">
        <v>0</v>
      </c>
      <c r="E16" s="156"/>
      <c r="F16" s="157">
        <v>0</v>
      </c>
      <c r="G16" s="11"/>
      <c r="H16" s="148">
        <v>76465711.414521128</v>
      </c>
      <c r="I16" s="158"/>
      <c r="J16" s="150">
        <v>1536196.1423177295</v>
      </c>
      <c r="K16" s="152"/>
    </row>
    <row r="17" spans="1:12">
      <c r="A17" s="153" t="s">
        <v>42</v>
      </c>
      <c r="B17" s="154" t="s">
        <v>38</v>
      </c>
      <c r="C17" s="155"/>
      <c r="D17" s="148">
        <v>0</v>
      </c>
      <c r="E17" s="156"/>
      <c r="F17" s="157">
        <v>0</v>
      </c>
      <c r="G17" s="11"/>
      <c r="H17" s="148">
        <v>38878939</v>
      </c>
      <c r="I17" s="158"/>
      <c r="J17" s="150">
        <v>781077.88451</v>
      </c>
      <c r="K17" s="152"/>
    </row>
    <row r="18" spans="1:12">
      <c r="A18" s="153" t="s">
        <v>43</v>
      </c>
      <c r="B18" s="154" t="s">
        <v>38</v>
      </c>
      <c r="C18" s="159"/>
      <c r="D18" s="148">
        <v>2506366.7821648996</v>
      </c>
      <c r="E18" s="156"/>
      <c r="F18" s="157">
        <v>317681.98963940103</v>
      </c>
      <c r="G18" s="11"/>
      <c r="H18" s="148">
        <v>0</v>
      </c>
      <c r="I18" s="158"/>
      <c r="J18" s="150">
        <v>0</v>
      </c>
      <c r="K18" s="152"/>
    </row>
    <row r="19" spans="1:12">
      <c r="A19" s="153" t="s">
        <v>44</v>
      </c>
      <c r="B19" s="149" t="s">
        <v>38</v>
      </c>
      <c r="C19" s="155"/>
      <c r="D19" s="148">
        <v>24360.100098803348</v>
      </c>
      <c r="E19" s="156"/>
      <c r="F19" s="157">
        <v>3087.6426875233246</v>
      </c>
      <c r="G19" s="11"/>
      <c r="H19" s="148">
        <v>0</v>
      </c>
      <c r="I19" s="158"/>
      <c r="J19" s="150">
        <v>0</v>
      </c>
      <c r="K19" s="152"/>
      <c r="L19" s="11"/>
    </row>
    <row r="20" spans="1:12">
      <c r="A20" s="153" t="s">
        <v>45</v>
      </c>
      <c r="B20" s="149" t="s">
        <v>38</v>
      </c>
      <c r="C20" s="155"/>
      <c r="D20" s="148"/>
      <c r="E20" s="156"/>
      <c r="F20" s="157"/>
      <c r="G20" s="11"/>
      <c r="H20" s="148">
        <v>4555628.4416360287</v>
      </c>
      <c r="I20" s="160"/>
      <c r="J20" s="150">
        <v>91522.575392467814</v>
      </c>
      <c r="K20" s="67"/>
      <c r="L20" s="11"/>
    </row>
    <row r="21" spans="1:12">
      <c r="A21" s="145" t="s">
        <v>70</v>
      </c>
      <c r="B21" s="154"/>
      <c r="C21" s="155"/>
      <c r="D21" s="148">
        <f>SUM(D13:D20)</f>
        <v>699256214.84949708</v>
      </c>
      <c r="E21" s="161"/>
      <c r="F21" s="157">
        <f>SUM(F13:F20)</f>
        <v>88630725.232173741</v>
      </c>
      <c r="G21" s="153"/>
      <c r="H21" s="162">
        <f>SUM(H13:H20)</f>
        <v>376411522.39301425</v>
      </c>
      <c r="I21" s="163"/>
      <c r="J21" s="164">
        <f>SUM(J13:J20)</f>
        <v>7562107.4848756557</v>
      </c>
      <c r="K21" s="165">
        <f>F21+J21</f>
        <v>96192832.71704939</v>
      </c>
      <c r="L21" s="11" t="s">
        <v>73</v>
      </c>
    </row>
    <row r="22" spans="1:12">
      <c r="D22" s="166"/>
      <c r="G22" s="11"/>
      <c r="H22" s="11"/>
      <c r="I22" s="167"/>
      <c r="J22" s="168"/>
      <c r="L22" s="11"/>
    </row>
    <row r="23" spans="1:12">
      <c r="A23" s="140" t="s">
        <v>71</v>
      </c>
      <c r="B23" s="141" t="s">
        <v>63</v>
      </c>
      <c r="C23" s="142"/>
      <c r="D23" s="169" t="s">
        <v>64</v>
      </c>
      <c r="E23" s="170" t="s">
        <v>65</v>
      </c>
      <c r="F23" s="171" t="s">
        <v>66</v>
      </c>
      <c r="G23" s="126"/>
      <c r="H23" s="172" t="s">
        <v>64</v>
      </c>
      <c r="I23" s="170" t="s">
        <v>65</v>
      </c>
      <c r="J23" s="171" t="s">
        <v>66</v>
      </c>
      <c r="K23" s="173" t="s">
        <v>61</v>
      </c>
    </row>
    <row r="24" spans="1:12">
      <c r="A24" s="145" t="s">
        <v>72</v>
      </c>
      <c r="B24" s="146"/>
      <c r="C24" s="142"/>
      <c r="D24" s="167"/>
      <c r="E24" s="168"/>
      <c r="F24" s="174"/>
      <c r="G24" s="9"/>
      <c r="H24" s="175"/>
      <c r="I24" s="168"/>
      <c r="J24" s="174"/>
      <c r="K24" s="176"/>
    </row>
    <row r="25" spans="1:12">
      <c r="A25" s="153" t="str">
        <f t="shared" ref="A25:A32" si="0">IF(A13=0,"",A13)</f>
        <v>Residential</v>
      </c>
      <c r="B25" s="177" t="s">
        <v>38</v>
      </c>
      <c r="C25" s="155"/>
      <c r="D25" s="178"/>
      <c r="E25" s="178"/>
      <c r="F25" s="179">
        <f>D25*E25</f>
        <v>0</v>
      </c>
      <c r="H25" s="180"/>
      <c r="I25" s="178"/>
      <c r="J25" s="150">
        <v>1560441.4505652606</v>
      </c>
      <c r="K25" s="152"/>
    </row>
    <row r="26" spans="1:12">
      <c r="A26" s="153" t="str">
        <f t="shared" si="0"/>
        <v>GS &lt; 50 KW</v>
      </c>
      <c r="B26" s="177" t="s">
        <v>38</v>
      </c>
      <c r="C26" s="155"/>
      <c r="D26" s="178"/>
      <c r="E26" s="178"/>
      <c r="F26" s="179">
        <f t="shared" ref="F26:F31" si="1">D26*E26</f>
        <v>0</v>
      </c>
      <c r="H26" s="180"/>
      <c r="I26" s="178"/>
      <c r="J26" s="150">
        <v>2097122.2893829809</v>
      </c>
      <c r="K26" s="152"/>
    </row>
    <row r="27" spans="1:12">
      <c r="A27" s="153" t="str">
        <f t="shared" si="0"/>
        <v>GS 50 to 999 KW</v>
      </c>
      <c r="B27" s="177" t="s">
        <v>69</v>
      </c>
      <c r="C27" s="155"/>
      <c r="D27" s="178"/>
      <c r="E27" s="178"/>
      <c r="F27" s="179">
        <f t="shared" si="1"/>
        <v>0</v>
      </c>
      <c r="H27" s="180"/>
      <c r="I27" s="178"/>
      <c r="J27" s="150">
        <v>23493832.881896019</v>
      </c>
      <c r="K27" s="152"/>
      <c r="L27" s="11"/>
    </row>
    <row r="28" spans="1:12">
      <c r="A28" s="153" t="str">
        <f t="shared" si="0"/>
        <v xml:space="preserve">GS 1000 to 4999 KW </v>
      </c>
      <c r="B28" s="177" t="s">
        <v>69</v>
      </c>
      <c r="C28" s="155"/>
      <c r="D28" s="178"/>
      <c r="E28" s="178"/>
      <c r="F28" s="179">
        <f t="shared" si="1"/>
        <v>0</v>
      </c>
      <c r="H28" s="180"/>
      <c r="I28" s="178"/>
      <c r="J28" s="150">
        <v>6998707.7129570339</v>
      </c>
      <c r="K28" s="152"/>
    </row>
    <row r="29" spans="1:12">
      <c r="A29" s="153" t="str">
        <f t="shared" si="0"/>
        <v>Large User</v>
      </c>
      <c r="B29" s="177" t="s">
        <v>38</v>
      </c>
      <c r="C29" s="155"/>
      <c r="D29" s="178"/>
      <c r="E29" s="178"/>
      <c r="F29" s="179">
        <f t="shared" si="1"/>
        <v>0</v>
      </c>
      <c r="H29" s="180"/>
      <c r="I29" s="178"/>
      <c r="J29" s="150">
        <v>3050244.8386488869</v>
      </c>
      <c r="K29" s="152"/>
      <c r="L29" s="9"/>
    </row>
    <row r="30" spans="1:12">
      <c r="A30" s="153" t="str">
        <f t="shared" si="0"/>
        <v xml:space="preserve">Unmetered </v>
      </c>
      <c r="B30" s="177" t="s">
        <v>38</v>
      </c>
      <c r="C30" s="155"/>
      <c r="D30" s="178"/>
      <c r="E30" s="178"/>
      <c r="F30" s="179">
        <f t="shared" si="1"/>
        <v>0</v>
      </c>
      <c r="H30" s="180"/>
      <c r="I30" s="178"/>
      <c r="J30" s="150">
        <v>0</v>
      </c>
      <c r="K30" s="152"/>
    </row>
    <row r="31" spans="1:12">
      <c r="A31" s="153" t="str">
        <f t="shared" si="0"/>
        <v>Sentinel</v>
      </c>
      <c r="B31" s="177" t="s">
        <v>38</v>
      </c>
      <c r="C31" s="155"/>
      <c r="D31" s="178"/>
      <c r="E31" s="178"/>
      <c r="F31" s="181">
        <f t="shared" si="1"/>
        <v>0</v>
      </c>
      <c r="H31" s="180"/>
      <c r="I31" s="178"/>
      <c r="J31" s="150">
        <v>487178.90554855688</v>
      </c>
      <c r="K31" s="152"/>
    </row>
    <row r="32" spans="1:12">
      <c r="A32" s="153" t="str">
        <f t="shared" si="0"/>
        <v>Street Lighting</v>
      </c>
      <c r="B32" s="177" t="s">
        <v>38</v>
      </c>
      <c r="C32" s="155"/>
      <c r="D32" s="178"/>
      <c r="E32" s="178"/>
      <c r="F32" s="181"/>
      <c r="H32" s="180"/>
      <c r="I32" s="178"/>
      <c r="J32" s="150"/>
      <c r="K32" s="67"/>
    </row>
    <row r="33" spans="1:12">
      <c r="A33" s="145" t="s">
        <v>70</v>
      </c>
      <c r="B33" s="177"/>
      <c r="C33" s="147"/>
      <c r="D33" s="163">
        <f>SUM(D25:D31)</f>
        <v>0</v>
      </c>
      <c r="E33" s="161"/>
      <c r="F33" s="154">
        <f>SUM(F25:F31)</f>
        <v>0</v>
      </c>
      <c r="G33" s="154"/>
      <c r="H33" s="182"/>
      <c r="I33" s="161"/>
      <c r="J33" s="183">
        <f>SUM(J25:J31)</f>
        <v>37687528.078998737</v>
      </c>
      <c r="K33" s="165">
        <f>F33+J33</f>
        <v>37687528.078998737</v>
      </c>
      <c r="L33" s="184" t="s">
        <v>73</v>
      </c>
    </row>
    <row r="34" spans="1:12">
      <c r="B34" s="166"/>
      <c r="C34" s="11"/>
      <c r="D34" s="166"/>
    </row>
    <row r="35" spans="1:12">
      <c r="A35" s="185" t="s">
        <v>74</v>
      </c>
      <c r="B35" s="168"/>
      <c r="C35" s="142"/>
      <c r="D35" s="167" t="s">
        <v>75</v>
      </c>
      <c r="E35" s="152" t="s">
        <v>65</v>
      </c>
      <c r="F35" s="171" t="s">
        <v>66</v>
      </c>
      <c r="G35" s="126"/>
      <c r="H35" s="172" t="s">
        <v>64</v>
      </c>
      <c r="I35" s="152" t="s">
        <v>65</v>
      </c>
      <c r="J35" s="171" t="s">
        <v>66</v>
      </c>
      <c r="K35" s="169" t="s">
        <v>61</v>
      </c>
    </row>
    <row r="36" spans="1:12">
      <c r="A36" s="145" t="s">
        <v>72</v>
      </c>
      <c r="B36" s="186"/>
      <c r="C36" s="187"/>
      <c r="D36" s="188"/>
      <c r="E36" s="152"/>
      <c r="F36" s="174"/>
      <c r="G36" s="9"/>
      <c r="H36" s="189"/>
      <c r="I36" s="152"/>
      <c r="J36" s="174"/>
      <c r="K36" s="188"/>
    </row>
    <row r="37" spans="1:12">
      <c r="A37" s="153" t="str">
        <f>IF(A25=0,"",A25)</f>
        <v>Residential</v>
      </c>
      <c r="B37" s="177" t="s">
        <v>38</v>
      </c>
      <c r="C37" s="155"/>
      <c r="D37" s="190">
        <v>481903320.31180269</v>
      </c>
      <c r="E37" s="191">
        <v>7.3000000000000001E-3</v>
      </c>
      <c r="F37" s="192">
        <f>D37*E37</f>
        <v>3517894.2382761599</v>
      </c>
      <c r="H37" s="190">
        <v>14591747.246729575</v>
      </c>
      <c r="I37" s="191">
        <v>7.3000000000000001E-3</v>
      </c>
      <c r="J37" s="192">
        <f>H37*I37</f>
        <v>106519.7549011259</v>
      </c>
      <c r="K37" s="152"/>
    </row>
    <row r="38" spans="1:12">
      <c r="A38" s="153" t="str">
        <f>IF(A26=0,"",A26)</f>
        <v>GS &lt; 50 KW</v>
      </c>
      <c r="B38" s="177" t="s">
        <v>38</v>
      </c>
      <c r="C38" s="159"/>
      <c r="D38" s="190">
        <v>109095925.28603294</v>
      </c>
      <c r="E38" s="191">
        <v>6.7999999999999996E-3</v>
      </c>
      <c r="F38" s="192">
        <f t="shared" ref="F38:F45" si="2">D38*E38</f>
        <v>741852.29194502393</v>
      </c>
      <c r="H38" s="190">
        <v>19610270.145717047</v>
      </c>
      <c r="I38" s="191">
        <v>6.7999999999999996E-3</v>
      </c>
      <c r="J38" s="192">
        <f t="shared" ref="J38:J45" si="3">H38*I38</f>
        <v>133349.83699087592</v>
      </c>
      <c r="K38" s="152"/>
    </row>
    <row r="39" spans="1:12">
      <c r="A39" s="153" t="str">
        <f>IF(A27=0,"",A27)</f>
        <v>GS 50 to 999 KW</v>
      </c>
      <c r="B39" s="177" t="s">
        <v>76</v>
      </c>
      <c r="C39" s="155"/>
      <c r="D39" s="190">
        <v>116261.07343030011</v>
      </c>
      <c r="E39" s="191">
        <v>2.4777</v>
      </c>
      <c r="F39" s="192">
        <f t="shared" si="2"/>
        <v>288060.06163825456</v>
      </c>
      <c r="H39" s="190">
        <v>244460.68152791521</v>
      </c>
      <c r="I39" s="191">
        <v>2.4777</v>
      </c>
      <c r="J39" s="192">
        <f t="shared" si="3"/>
        <v>605700.23062171554</v>
      </c>
      <c r="K39" s="152"/>
    </row>
    <row r="40" spans="1:12">
      <c r="A40" s="193" t="s">
        <v>77</v>
      </c>
      <c r="B40" s="177" t="s">
        <v>76</v>
      </c>
      <c r="C40" s="155"/>
      <c r="D40" s="190">
        <v>149866.53306711078</v>
      </c>
      <c r="E40" s="191">
        <v>3.1758000000000002</v>
      </c>
      <c r="F40" s="192">
        <f t="shared" si="2"/>
        <v>475946.13571453042</v>
      </c>
      <c r="H40" s="190">
        <v>315122.45441098342</v>
      </c>
      <c r="I40" s="191">
        <v>3.1758000000000002</v>
      </c>
      <c r="J40" s="192">
        <f t="shared" si="3"/>
        <v>1000765.8907184012</v>
      </c>
      <c r="K40" s="152"/>
    </row>
    <row r="41" spans="1:12">
      <c r="A41" s="153" t="str">
        <f>IF(A28=0,"",A28)</f>
        <v xml:space="preserve">GS 1000 to 4999 KW </v>
      </c>
      <c r="B41" s="177" t="s">
        <v>76</v>
      </c>
      <c r="C41" s="155"/>
      <c r="D41" s="190">
        <v>0</v>
      </c>
      <c r="E41" s="191">
        <v>3.1758000000000002</v>
      </c>
      <c r="F41" s="192">
        <f t="shared" si="2"/>
        <v>0</v>
      </c>
      <c r="H41" s="190">
        <v>182479.99804950849</v>
      </c>
      <c r="I41" s="191">
        <v>3.1758000000000002</v>
      </c>
      <c r="J41" s="192">
        <f t="shared" si="3"/>
        <v>579519.97780562914</v>
      </c>
      <c r="K41" s="152"/>
    </row>
    <row r="42" spans="1:12">
      <c r="A42" s="153" t="str">
        <f>IF(A29=0,"",A29)</f>
        <v>Large User</v>
      </c>
      <c r="B42" s="177" t="s">
        <v>76</v>
      </c>
      <c r="C42" s="155"/>
      <c r="D42" s="190">
        <v>0</v>
      </c>
      <c r="E42" s="191">
        <v>3.3839000000000001</v>
      </c>
      <c r="F42" s="192">
        <f t="shared" si="2"/>
        <v>0</v>
      </c>
      <c r="H42" s="190">
        <v>86319.197140084652</v>
      </c>
      <c r="I42" s="191">
        <v>3.3839000000000001</v>
      </c>
      <c r="J42" s="192">
        <f t="shared" si="3"/>
        <v>292095.53120233247</v>
      </c>
      <c r="K42" s="152"/>
    </row>
    <row r="43" spans="1:12">
      <c r="A43" s="153" t="str">
        <f>IF(A30=0,"",A30)</f>
        <v xml:space="preserve">Unmetered </v>
      </c>
      <c r="B43" s="177" t="s">
        <v>38</v>
      </c>
      <c r="C43" s="155"/>
      <c r="D43" s="190">
        <v>2506366.7821648996</v>
      </c>
      <c r="E43" s="191">
        <v>6.7999999999999996E-3</v>
      </c>
      <c r="F43" s="192">
        <f t="shared" si="2"/>
        <v>17043.294118721318</v>
      </c>
      <c r="H43" s="190">
        <v>0</v>
      </c>
      <c r="I43" s="191">
        <v>6.7999999999999996E-3</v>
      </c>
      <c r="J43" s="192">
        <f t="shared" si="3"/>
        <v>0</v>
      </c>
      <c r="K43" s="152"/>
    </row>
    <row r="44" spans="1:12">
      <c r="A44" s="153" t="str">
        <f>IF(A31=0,"",A31)</f>
        <v>Sentinel</v>
      </c>
      <c r="B44" s="177" t="s">
        <v>76</v>
      </c>
      <c r="C44" s="155"/>
      <c r="D44" s="190">
        <v>80.540285116149022</v>
      </c>
      <c r="E44" s="191">
        <v>1.7090000000000001</v>
      </c>
      <c r="F44" s="192">
        <f t="shared" si="2"/>
        <v>137.6433472634987</v>
      </c>
      <c r="H44" s="190">
        <v>0</v>
      </c>
      <c r="I44" s="191">
        <v>1.7090000000000001</v>
      </c>
      <c r="J44" s="192">
        <f t="shared" si="3"/>
        <v>0</v>
      </c>
      <c r="K44" s="152"/>
    </row>
    <row r="45" spans="1:12">
      <c r="A45" s="153" t="str">
        <f>IF(A32=0,"",A32)</f>
        <v>Street Lighting</v>
      </c>
      <c r="B45" s="177" t="s">
        <v>76</v>
      </c>
      <c r="C45" s="155"/>
      <c r="D45" s="190">
        <v>0</v>
      </c>
      <c r="E45" s="191">
        <v>1.6800999999999999</v>
      </c>
      <c r="F45" s="192">
        <f t="shared" si="2"/>
        <v>0</v>
      </c>
      <c r="H45" s="190">
        <v>12504.074661758703</v>
      </c>
      <c r="I45" s="191">
        <v>1.6800999999999999</v>
      </c>
      <c r="J45" s="192">
        <f t="shared" si="3"/>
        <v>21008.095839220794</v>
      </c>
      <c r="K45" s="67"/>
    </row>
    <row r="46" spans="1:12">
      <c r="A46" s="145" t="s">
        <v>70</v>
      </c>
      <c r="B46" s="177"/>
      <c r="C46" s="147"/>
      <c r="D46" s="183"/>
      <c r="E46" s="154"/>
      <c r="F46" s="183">
        <f>SUM(F37:F45)</f>
        <v>5040933.6650399528</v>
      </c>
      <c r="G46" s="154"/>
      <c r="H46" s="162"/>
      <c r="I46" s="154"/>
      <c r="J46" s="183">
        <f>SUM(J37:J45)</f>
        <v>2738959.3180793012</v>
      </c>
      <c r="K46" s="192">
        <f>F46+J46</f>
        <v>7779892.983119254</v>
      </c>
    </row>
    <row r="47" spans="1:12">
      <c r="C47" s="11"/>
    </row>
    <row r="48" spans="1:12">
      <c r="A48" s="140" t="s">
        <v>78</v>
      </c>
      <c r="B48" s="170"/>
      <c r="C48" s="142"/>
      <c r="D48" s="169" t="s">
        <v>64</v>
      </c>
      <c r="E48" s="152" t="s">
        <v>65</v>
      </c>
      <c r="F48" s="171" t="s">
        <v>66</v>
      </c>
      <c r="G48" s="126"/>
      <c r="H48" s="172" t="s">
        <v>64</v>
      </c>
      <c r="I48" s="152" t="s">
        <v>65</v>
      </c>
      <c r="J48" s="171" t="s">
        <v>66</v>
      </c>
      <c r="K48" s="169" t="s">
        <v>61</v>
      </c>
    </row>
    <row r="49" spans="1:12">
      <c r="A49" s="145" t="s">
        <v>72</v>
      </c>
      <c r="B49" s="186"/>
      <c r="C49" s="187"/>
      <c r="D49" s="188"/>
      <c r="E49" s="152"/>
      <c r="F49" s="174"/>
      <c r="G49" s="9"/>
      <c r="H49" s="189"/>
      <c r="I49" s="152"/>
      <c r="J49" s="174"/>
      <c r="K49" s="188"/>
    </row>
    <row r="50" spans="1:12">
      <c r="A50" s="153" t="str">
        <f>IF(A37=0,"",A37)</f>
        <v>Residential</v>
      </c>
      <c r="B50" s="177" t="s">
        <v>38</v>
      </c>
      <c r="C50" s="155"/>
      <c r="D50" s="190">
        <v>481903320.31180269</v>
      </c>
      <c r="E50" s="191">
        <v>6.6E-3</v>
      </c>
      <c r="F50" s="192">
        <f>D50*E50</f>
        <v>3180561.9140578979</v>
      </c>
      <c r="H50" s="190">
        <v>14591747.246729575</v>
      </c>
      <c r="I50" s="191">
        <v>6.6E-3</v>
      </c>
      <c r="J50" s="192">
        <f>H50*I50</f>
        <v>96305.531828415202</v>
      </c>
      <c r="K50" s="152"/>
    </row>
    <row r="51" spans="1:12">
      <c r="A51" s="153" t="str">
        <f>IF(A38=0,"",A38)</f>
        <v>GS &lt; 50 KW</v>
      </c>
      <c r="B51" s="177" t="s">
        <v>38</v>
      </c>
      <c r="C51" s="182"/>
      <c r="D51" s="190">
        <v>109095925.28603294</v>
      </c>
      <c r="E51" s="191">
        <v>6.1000000000000004E-3</v>
      </c>
      <c r="F51" s="192">
        <f t="shared" ref="F51:F58" si="4">D51*E51</f>
        <v>665485.14424480102</v>
      </c>
      <c r="H51" s="190">
        <v>19610270.145717047</v>
      </c>
      <c r="I51" s="191">
        <v>6.1000000000000004E-3</v>
      </c>
      <c r="J51" s="192">
        <f t="shared" ref="J51:J58" si="5">H51*I51</f>
        <v>119622.64788887399</v>
      </c>
      <c r="K51" s="152"/>
    </row>
    <row r="52" spans="1:12">
      <c r="A52" s="153" t="str">
        <f>IF(A39=0,"",A39)</f>
        <v>GS 50 to 999 KW</v>
      </c>
      <c r="B52" s="177" t="s">
        <v>76</v>
      </c>
      <c r="C52" s="194"/>
      <c r="D52" s="190">
        <v>116261.07343030011</v>
      </c>
      <c r="E52" s="191">
        <v>2.1429</v>
      </c>
      <c r="F52" s="192">
        <f t="shared" si="4"/>
        <v>249135.85425379011</v>
      </c>
      <c r="H52" s="190">
        <v>244460.68152791521</v>
      </c>
      <c r="I52" s="191">
        <v>2.1429</v>
      </c>
      <c r="J52" s="192">
        <f t="shared" si="5"/>
        <v>523854.79444616952</v>
      </c>
      <c r="K52" s="152"/>
    </row>
    <row r="53" spans="1:12">
      <c r="A53" s="153" t="s">
        <v>77</v>
      </c>
      <c r="B53" s="177" t="s">
        <v>76</v>
      </c>
      <c r="C53" s="194"/>
      <c r="D53" s="190">
        <v>0</v>
      </c>
      <c r="E53" s="191">
        <v>2.7221000000000002</v>
      </c>
      <c r="F53" s="192">
        <f t="shared" si="4"/>
        <v>0</v>
      </c>
      <c r="H53" s="190">
        <v>315122.45441098342</v>
      </c>
      <c r="I53" s="191">
        <v>2.7221000000000002</v>
      </c>
      <c r="J53" s="192">
        <f t="shared" si="5"/>
        <v>857794.83315213805</v>
      </c>
      <c r="K53" s="152"/>
    </row>
    <row r="54" spans="1:12">
      <c r="A54" s="153" t="str">
        <f>IF(A41=0,"",A41)</f>
        <v xml:space="preserve">GS 1000 to 4999 KW </v>
      </c>
      <c r="B54" s="177" t="s">
        <v>76</v>
      </c>
      <c r="C54" s="194"/>
      <c r="D54" s="190">
        <v>0</v>
      </c>
      <c r="E54" s="191">
        <v>2.7221000000000002</v>
      </c>
      <c r="F54" s="192">
        <f t="shared" si="4"/>
        <v>0</v>
      </c>
      <c r="H54" s="190">
        <v>182479.99804950849</v>
      </c>
      <c r="I54" s="191">
        <v>2.7221000000000002</v>
      </c>
      <c r="J54" s="192">
        <f t="shared" si="5"/>
        <v>496728.8026905671</v>
      </c>
      <c r="K54" s="152"/>
    </row>
    <row r="55" spans="1:12">
      <c r="A55" s="153" t="str">
        <f>IF(A42=0,"",A42)</f>
        <v>Large User</v>
      </c>
      <c r="B55" s="177" t="s">
        <v>76</v>
      </c>
      <c r="C55" s="194"/>
      <c r="D55" s="190">
        <v>0</v>
      </c>
      <c r="E55" s="191">
        <v>2.9701</v>
      </c>
      <c r="F55" s="192">
        <f t="shared" si="4"/>
        <v>0</v>
      </c>
      <c r="H55" s="190">
        <v>86319.197140084652</v>
      </c>
      <c r="I55" s="191">
        <v>2.9701</v>
      </c>
      <c r="J55" s="192">
        <f t="shared" si="5"/>
        <v>256376.64742576543</v>
      </c>
      <c r="K55" s="152"/>
    </row>
    <row r="56" spans="1:12">
      <c r="A56" s="153" t="str">
        <f>IF(A43=0,"",A43)</f>
        <v xml:space="preserve">Unmetered </v>
      </c>
      <c r="B56" s="177" t="s">
        <v>38</v>
      </c>
      <c r="C56" s="194"/>
      <c r="D56" s="190">
        <v>2506366.7821648996</v>
      </c>
      <c r="E56" s="191">
        <v>6.1000000000000004E-3</v>
      </c>
      <c r="F56" s="192">
        <f t="shared" si="4"/>
        <v>15288.837371205889</v>
      </c>
      <c r="H56" s="190">
        <v>0</v>
      </c>
      <c r="I56" s="191">
        <v>6.1000000000000004E-3</v>
      </c>
      <c r="J56" s="192">
        <f t="shared" si="5"/>
        <v>0</v>
      </c>
      <c r="K56" s="152"/>
    </row>
    <row r="57" spans="1:12">
      <c r="A57" s="153" t="str">
        <f>IF(A44=0,"",A44)</f>
        <v>Sentinel</v>
      </c>
      <c r="B57" s="177" t="s">
        <v>76</v>
      </c>
      <c r="C57" s="194"/>
      <c r="D57" s="190">
        <v>80.540285116149022</v>
      </c>
      <c r="E57" s="191">
        <v>2.5154999999999998</v>
      </c>
      <c r="F57" s="192">
        <f t="shared" si="4"/>
        <v>202.59908720967286</v>
      </c>
      <c r="H57" s="190">
        <v>0</v>
      </c>
      <c r="I57" s="191">
        <v>2.5154999999999998</v>
      </c>
      <c r="J57" s="192">
        <f t="shared" si="5"/>
        <v>0</v>
      </c>
      <c r="K57" s="152"/>
    </row>
    <row r="58" spans="1:12">
      <c r="A58" s="153" t="s">
        <v>45</v>
      </c>
      <c r="B58" s="177" t="s">
        <v>76</v>
      </c>
      <c r="C58" s="195"/>
      <c r="D58" s="190">
        <v>0</v>
      </c>
      <c r="E58" s="191">
        <v>2.4729000000000001</v>
      </c>
      <c r="F58" s="192">
        <f t="shared" si="4"/>
        <v>0</v>
      </c>
      <c r="H58" s="190">
        <v>12504.074661758703</v>
      </c>
      <c r="I58" s="191">
        <v>2.4729000000000001</v>
      </c>
      <c r="J58" s="192">
        <f t="shared" si="5"/>
        <v>30921.326231063096</v>
      </c>
      <c r="K58" s="67"/>
    </row>
    <row r="59" spans="1:12">
      <c r="A59" s="145" t="s">
        <v>70</v>
      </c>
      <c r="B59" s="177"/>
      <c r="C59" s="196"/>
      <c r="D59" s="183"/>
      <c r="E59" s="154"/>
      <c r="F59" s="183">
        <f>SUM(F50:F58)</f>
        <v>4110674.3490149044</v>
      </c>
      <c r="G59" s="154"/>
      <c r="H59" s="153"/>
      <c r="I59" s="154"/>
      <c r="J59" s="183">
        <f>SUM(J50:J58)</f>
        <v>2381604.5836629923</v>
      </c>
      <c r="K59" s="192">
        <f>F59+J59</f>
        <v>6492278.9326778967</v>
      </c>
    </row>
    <row r="60" spans="1:12">
      <c r="C60" s="11"/>
    </row>
    <row r="61" spans="1:12">
      <c r="A61" s="140" t="s">
        <v>79</v>
      </c>
      <c r="B61" s="169"/>
      <c r="C61" s="197"/>
      <c r="D61" s="169" t="s">
        <v>75</v>
      </c>
      <c r="E61" s="152" t="s">
        <v>65</v>
      </c>
      <c r="F61" s="171" t="s">
        <v>66</v>
      </c>
      <c r="G61" s="126"/>
      <c r="H61" s="172" t="s">
        <v>64</v>
      </c>
      <c r="I61" s="152" t="s">
        <v>65</v>
      </c>
      <c r="J61" s="152" t="s">
        <v>66</v>
      </c>
      <c r="K61" s="169" t="s">
        <v>61</v>
      </c>
      <c r="L61" s="129" t="s">
        <v>80</v>
      </c>
    </row>
    <row r="62" spans="1:12">
      <c r="A62" s="145" t="s">
        <v>72</v>
      </c>
      <c r="B62" s="188"/>
      <c r="C62" s="126"/>
      <c r="D62" s="188"/>
      <c r="E62" s="152"/>
      <c r="F62" s="174"/>
      <c r="G62" s="9"/>
      <c r="H62" s="189"/>
      <c r="I62" s="152"/>
      <c r="J62" s="152"/>
      <c r="K62" s="188"/>
    </row>
    <row r="63" spans="1:12">
      <c r="A63" s="153" t="str">
        <f>IF(A50=0,"",A50)</f>
        <v>Residential</v>
      </c>
      <c r="B63" s="177" t="s">
        <v>38</v>
      </c>
      <c r="C63" s="155"/>
      <c r="D63" s="190">
        <v>481903320.31180269</v>
      </c>
      <c r="E63" s="191">
        <v>3.4000000000000002E-3</v>
      </c>
      <c r="F63" s="192">
        <f>D63*E63</f>
        <v>1638471.2890601293</v>
      </c>
      <c r="H63" s="190">
        <v>14591747.246729575</v>
      </c>
      <c r="I63" s="191">
        <v>3.4000000000000002E-3</v>
      </c>
      <c r="J63" s="192">
        <f>H63*I63</f>
        <v>49611.940638880558</v>
      </c>
      <c r="K63" s="152"/>
    </row>
    <row r="64" spans="1:12">
      <c r="A64" s="153" t="str">
        <f>IF(A51=0,"",A51)</f>
        <v>GS &lt; 50 KW</v>
      </c>
      <c r="B64" s="177" t="s">
        <v>38</v>
      </c>
      <c r="C64" s="155"/>
      <c r="D64" s="190">
        <v>109095925.28603294</v>
      </c>
      <c r="E64" s="191">
        <v>3.4000000000000002E-3</v>
      </c>
      <c r="F64" s="192">
        <f t="shared" ref="F64:F70" si="6">D64*E64</f>
        <v>370926.14597251202</v>
      </c>
      <c r="H64" s="190">
        <v>19610270.145717047</v>
      </c>
      <c r="I64" s="191">
        <v>3.4000000000000002E-3</v>
      </c>
      <c r="J64" s="192">
        <f t="shared" ref="J64:J70" si="7">H64*I64</f>
        <v>66674.91849543796</v>
      </c>
      <c r="K64" s="152"/>
    </row>
    <row r="65" spans="1:11">
      <c r="A65" s="153" t="str">
        <f>IF(A52=0,"",A52)</f>
        <v>GS 50 to 999 KW</v>
      </c>
      <c r="B65" s="177" t="s">
        <v>38</v>
      </c>
      <c r="C65" s="155"/>
      <c r="D65" s="190">
        <v>105726242.36939764</v>
      </c>
      <c r="E65" s="191">
        <v>3.4000000000000002E-3</v>
      </c>
      <c r="F65" s="192">
        <f t="shared" si="6"/>
        <v>359469.22405595199</v>
      </c>
      <c r="H65" s="190">
        <v>222309226.14441043</v>
      </c>
      <c r="I65" s="191">
        <v>3.4000000000000002E-3</v>
      </c>
      <c r="J65" s="192">
        <f t="shared" si="7"/>
        <v>755851.36889099551</v>
      </c>
      <c r="K65" s="152"/>
    </row>
    <row r="66" spans="1:11">
      <c r="A66" s="153" t="str">
        <f>IF(A54=0,"",A54)</f>
        <v xml:space="preserve">GS 1000 to 4999 KW </v>
      </c>
      <c r="B66" s="177" t="s">
        <v>38</v>
      </c>
      <c r="C66" s="155"/>
      <c r="D66" s="190">
        <v>0</v>
      </c>
      <c r="E66" s="191">
        <v>3.4000000000000002E-3</v>
      </c>
      <c r="F66" s="192">
        <f t="shared" si="6"/>
        <v>0</v>
      </c>
      <c r="H66" s="190">
        <v>76465711.414521128</v>
      </c>
      <c r="I66" s="191">
        <v>3.4000000000000002E-3</v>
      </c>
      <c r="J66" s="192">
        <f t="shared" si="7"/>
        <v>259983.41880937185</v>
      </c>
      <c r="K66" s="152"/>
    </row>
    <row r="67" spans="1:11">
      <c r="A67" s="153" t="str">
        <f>IF(A55=0,"",A55)</f>
        <v>Large User</v>
      </c>
      <c r="B67" s="177" t="s">
        <v>38</v>
      </c>
      <c r="C67" s="155"/>
      <c r="D67" s="190">
        <v>0</v>
      </c>
      <c r="E67" s="191">
        <v>3.4000000000000002E-3</v>
      </c>
      <c r="F67" s="192">
        <f t="shared" si="6"/>
        <v>0</v>
      </c>
      <c r="H67" s="190">
        <v>38878939</v>
      </c>
      <c r="I67" s="191">
        <v>3.0000000000000001E-3</v>
      </c>
      <c r="J67" s="192">
        <f t="shared" si="7"/>
        <v>116636.817</v>
      </c>
      <c r="K67" s="152"/>
    </row>
    <row r="68" spans="1:11">
      <c r="A68" s="153" t="str">
        <f>IF(A56=0,"",A56)</f>
        <v xml:space="preserve">Unmetered </v>
      </c>
      <c r="B68" s="177" t="s">
        <v>38</v>
      </c>
      <c r="C68" s="155"/>
      <c r="D68" s="190">
        <v>2506366.7821648996</v>
      </c>
      <c r="E68" s="191">
        <v>3.4000000000000002E-3</v>
      </c>
      <c r="F68" s="192">
        <f t="shared" si="6"/>
        <v>8521.6470593606591</v>
      </c>
      <c r="H68" s="190">
        <v>0</v>
      </c>
      <c r="I68" s="191">
        <v>3.4000000000000002E-3</v>
      </c>
      <c r="J68" s="192">
        <f t="shared" si="7"/>
        <v>0</v>
      </c>
      <c r="K68" s="152"/>
    </row>
    <row r="69" spans="1:11">
      <c r="A69" s="153" t="str">
        <f t="shared" ref="A69" si="8">IF(A57=0,"",A57)</f>
        <v>Sentinel</v>
      </c>
      <c r="B69" s="177" t="s">
        <v>38</v>
      </c>
      <c r="C69" s="155"/>
      <c r="D69" s="190">
        <v>24360.100098803348</v>
      </c>
      <c r="E69" s="191">
        <v>3.4000000000000002E-3</v>
      </c>
      <c r="F69" s="192">
        <f t="shared" si="6"/>
        <v>82.824340335931396</v>
      </c>
      <c r="H69" s="190">
        <v>0</v>
      </c>
      <c r="I69" s="191">
        <v>3.4000000000000002E-3</v>
      </c>
      <c r="J69" s="192">
        <f t="shared" si="7"/>
        <v>0</v>
      </c>
      <c r="K69" s="152"/>
    </row>
    <row r="70" spans="1:11">
      <c r="A70" s="153" t="s">
        <v>45</v>
      </c>
      <c r="B70" s="177" t="s">
        <v>38</v>
      </c>
      <c r="C70" s="155"/>
      <c r="D70" s="190">
        <v>0</v>
      </c>
      <c r="E70" s="191">
        <v>3.4000000000000002E-3</v>
      </c>
      <c r="F70" s="192">
        <f t="shared" si="6"/>
        <v>0</v>
      </c>
      <c r="H70" s="190">
        <v>4555628.4416360287</v>
      </c>
      <c r="I70" s="191">
        <v>3.4000000000000002E-3</v>
      </c>
      <c r="J70" s="192">
        <f t="shared" si="7"/>
        <v>15489.136701562498</v>
      </c>
      <c r="K70" s="67"/>
    </row>
    <row r="71" spans="1:11">
      <c r="A71" s="145" t="s">
        <v>70</v>
      </c>
      <c r="B71" s="177"/>
      <c r="C71" s="147"/>
      <c r="D71" s="183"/>
      <c r="E71" s="154"/>
      <c r="F71" s="183">
        <f>SUM(F63:F70)</f>
        <v>2377471.13048829</v>
      </c>
      <c r="G71" s="154"/>
      <c r="H71" s="153"/>
      <c r="I71" s="154"/>
      <c r="J71" s="183">
        <f>SUM(J63:J70)</f>
        <v>1264247.6005362484</v>
      </c>
      <c r="K71" s="192">
        <f>F71+J71</f>
        <v>3641718.7310245382</v>
      </c>
    </row>
    <row r="73" spans="1:11">
      <c r="A73" s="140" t="s">
        <v>81</v>
      </c>
      <c r="B73" s="169"/>
      <c r="C73" s="197"/>
      <c r="D73" s="169" t="s">
        <v>75</v>
      </c>
      <c r="E73" s="152" t="s">
        <v>65</v>
      </c>
      <c r="F73" s="171" t="s">
        <v>66</v>
      </c>
      <c r="G73" s="126"/>
      <c r="H73" s="172" t="s">
        <v>64</v>
      </c>
      <c r="I73" s="152" t="s">
        <v>65</v>
      </c>
      <c r="J73" s="152" t="s">
        <v>66</v>
      </c>
      <c r="K73" s="169" t="s">
        <v>61</v>
      </c>
    </row>
    <row r="74" spans="1:11">
      <c r="A74" s="145" t="s">
        <v>72</v>
      </c>
      <c r="B74" s="188"/>
      <c r="C74" s="126"/>
      <c r="D74" s="188"/>
      <c r="E74" s="152"/>
      <c r="F74" s="174"/>
      <c r="G74" s="9"/>
      <c r="H74" s="189"/>
      <c r="I74" s="152"/>
      <c r="J74" s="152"/>
      <c r="K74" s="188"/>
    </row>
    <row r="75" spans="1:11">
      <c r="A75" s="153" t="str">
        <f t="shared" ref="A75:A81" si="9">IF(A63=0,"",A63)</f>
        <v>Residential</v>
      </c>
      <c r="B75" s="177" t="s">
        <v>38</v>
      </c>
      <c r="C75" s="155"/>
      <c r="D75" s="190"/>
      <c r="E75" s="190"/>
      <c r="F75" s="192">
        <f>D75*E75</f>
        <v>0</v>
      </c>
      <c r="H75" s="190"/>
      <c r="I75" s="190"/>
      <c r="J75" s="192">
        <f>H75*I75</f>
        <v>0</v>
      </c>
      <c r="K75" s="152"/>
    </row>
    <row r="76" spans="1:11">
      <c r="A76" s="153" t="str">
        <f t="shared" si="9"/>
        <v>GS &lt; 50 KW</v>
      </c>
      <c r="B76" s="177" t="s">
        <v>38</v>
      </c>
      <c r="C76" s="155"/>
      <c r="D76" s="190"/>
      <c r="E76" s="190"/>
      <c r="F76" s="192">
        <f t="shared" ref="F76:F81" si="10">D76*E76</f>
        <v>0</v>
      </c>
      <c r="H76" s="190"/>
      <c r="I76" s="190"/>
      <c r="J76" s="192">
        <f t="shared" ref="J76:J81" si="11">H76*I76</f>
        <v>0</v>
      </c>
      <c r="K76" s="152"/>
    </row>
    <row r="77" spans="1:11">
      <c r="A77" s="153" t="str">
        <f t="shared" si="9"/>
        <v>GS 50 to 999 KW</v>
      </c>
      <c r="B77" s="177" t="s">
        <v>38</v>
      </c>
      <c r="C77" s="155"/>
      <c r="D77" s="190"/>
      <c r="E77" s="190"/>
      <c r="F77" s="192">
        <f t="shared" si="10"/>
        <v>0</v>
      </c>
      <c r="H77" s="190">
        <v>9245104.1276442446</v>
      </c>
      <c r="I77" s="191">
        <v>2.0861103434023556E-4</v>
      </c>
      <c r="J77" s="192">
        <f t="shared" si="11"/>
        <v>1928.6307346510471</v>
      </c>
      <c r="K77" s="152"/>
    </row>
    <row r="78" spans="1:11">
      <c r="A78" s="153" t="str">
        <f t="shared" si="9"/>
        <v xml:space="preserve">GS 1000 to 4999 KW </v>
      </c>
      <c r="B78" s="177" t="s">
        <v>38</v>
      </c>
      <c r="C78" s="155"/>
      <c r="D78" s="190"/>
      <c r="E78" s="190"/>
      <c r="F78" s="192">
        <f t="shared" si="10"/>
        <v>0</v>
      </c>
      <c r="H78" s="190">
        <v>42028614.867001474</v>
      </c>
      <c r="I78" s="191">
        <v>2.3071800359628563E-4</v>
      </c>
      <c r="J78" s="192">
        <f t="shared" si="11"/>
        <v>9696.7581160317495</v>
      </c>
      <c r="K78" s="152"/>
    </row>
    <row r="79" spans="1:11">
      <c r="A79" s="153" t="str">
        <f t="shared" si="9"/>
        <v>Large User</v>
      </c>
      <c r="B79" s="177" t="s">
        <v>38</v>
      </c>
      <c r="C79" s="155"/>
      <c r="D79" s="190"/>
      <c r="E79" s="190"/>
      <c r="F79" s="192">
        <f t="shared" si="10"/>
        <v>0</v>
      </c>
      <c r="H79" s="190">
        <v>38878939</v>
      </c>
      <c r="I79" s="191">
        <v>2.2727116358769444E-4</v>
      </c>
      <c r="J79" s="192">
        <f t="shared" si="11"/>
        <v>8836.0617055849925</v>
      </c>
      <c r="K79" s="152"/>
    </row>
    <row r="80" spans="1:11">
      <c r="A80" s="153" t="str">
        <f t="shared" si="9"/>
        <v xml:space="preserve">Unmetered </v>
      </c>
      <c r="B80" s="177" t="s">
        <v>38</v>
      </c>
      <c r="C80" s="155"/>
      <c r="D80" s="190"/>
      <c r="E80" s="190"/>
      <c r="F80" s="192">
        <f t="shared" si="10"/>
        <v>0</v>
      </c>
      <c r="H80" s="190"/>
      <c r="I80" s="190"/>
      <c r="J80" s="192">
        <f t="shared" si="11"/>
        <v>0</v>
      </c>
      <c r="K80" s="152"/>
    </row>
    <row r="81" spans="1:11">
      <c r="A81" s="153" t="str">
        <f t="shared" si="9"/>
        <v>Sentinel</v>
      </c>
      <c r="B81" s="177" t="s">
        <v>38</v>
      </c>
      <c r="C81" s="155"/>
      <c r="D81" s="190"/>
      <c r="E81" s="190"/>
      <c r="F81" s="192">
        <f t="shared" si="10"/>
        <v>0</v>
      </c>
      <c r="H81" s="190"/>
      <c r="I81" s="190"/>
      <c r="J81" s="192">
        <f t="shared" si="11"/>
        <v>0</v>
      </c>
      <c r="K81" s="152"/>
    </row>
    <row r="82" spans="1:11">
      <c r="A82" s="153" t="s">
        <v>45</v>
      </c>
      <c r="B82" s="177" t="s">
        <v>38</v>
      </c>
      <c r="C82" s="155"/>
      <c r="D82" s="190"/>
      <c r="E82" s="190"/>
      <c r="F82" s="192"/>
      <c r="H82" s="190"/>
      <c r="I82" s="190"/>
      <c r="J82" s="192"/>
      <c r="K82" s="67"/>
    </row>
    <row r="83" spans="1:11">
      <c r="A83" s="145" t="s">
        <v>70</v>
      </c>
      <c r="B83" s="177"/>
      <c r="C83" s="147"/>
      <c r="D83" s="183"/>
      <c r="E83" s="154"/>
      <c r="F83" s="183">
        <f>SUM(F75:F82)</f>
        <v>0</v>
      </c>
      <c r="G83" s="154"/>
      <c r="H83" s="153"/>
      <c r="I83" s="154"/>
      <c r="J83" s="183">
        <f>SUM(J75:J82)</f>
        <v>20461.450556267788</v>
      </c>
      <c r="K83" s="192">
        <f>F83+J83</f>
        <v>20461.450556267788</v>
      </c>
    </row>
    <row r="84" spans="1:11">
      <c r="A84" s="145"/>
      <c r="B84" s="198"/>
      <c r="C84" s="147"/>
      <c r="D84" s="199"/>
      <c r="E84" s="196"/>
      <c r="F84" s="183"/>
      <c r="G84" s="151"/>
      <c r="H84" s="200"/>
      <c r="I84" s="196"/>
      <c r="J84" s="183"/>
      <c r="K84" s="201"/>
    </row>
    <row r="85" spans="1:11">
      <c r="A85" s="140" t="s">
        <v>82</v>
      </c>
      <c r="B85" s="169"/>
      <c r="C85" s="142"/>
      <c r="D85" s="171" t="s">
        <v>75</v>
      </c>
      <c r="E85" s="170" t="s">
        <v>65</v>
      </c>
      <c r="F85" s="152" t="s">
        <v>66</v>
      </c>
      <c r="G85" s="126"/>
      <c r="H85" s="172" t="s">
        <v>64</v>
      </c>
      <c r="I85" s="170" t="s">
        <v>65</v>
      </c>
      <c r="J85" s="152" t="s">
        <v>66</v>
      </c>
      <c r="K85" s="169" t="s">
        <v>61</v>
      </c>
    </row>
    <row r="86" spans="1:11">
      <c r="A86" s="145" t="s">
        <v>72</v>
      </c>
      <c r="B86" s="188"/>
      <c r="C86" s="142"/>
      <c r="D86" s="174"/>
      <c r="E86" s="186"/>
      <c r="F86" s="152"/>
      <c r="G86" s="9"/>
      <c r="H86" s="189"/>
      <c r="I86" s="186"/>
      <c r="J86" s="152"/>
      <c r="K86" s="188"/>
    </row>
    <row r="87" spans="1:11">
      <c r="A87" s="153" t="str">
        <f t="shared" ref="A87:A93" si="12">IF(A63=0,"",A63)</f>
        <v>Residential</v>
      </c>
      <c r="B87" s="177" t="s">
        <v>38</v>
      </c>
      <c r="C87" s="155"/>
      <c r="D87" s="190">
        <v>481903320.31180269</v>
      </c>
      <c r="E87" s="191">
        <v>5.0000000000000001E-4</v>
      </c>
      <c r="F87" s="192">
        <f>D87*E87</f>
        <v>240951.66015590134</v>
      </c>
      <c r="H87" s="190">
        <v>14591747.246729575</v>
      </c>
      <c r="I87" s="191">
        <v>5.0000000000000001E-4</v>
      </c>
      <c r="J87" s="192">
        <f>H87*I87</f>
        <v>7295.8736233647878</v>
      </c>
      <c r="K87" s="152"/>
    </row>
    <row r="88" spans="1:11">
      <c r="A88" s="153" t="str">
        <f t="shared" si="12"/>
        <v>GS &lt; 50 KW</v>
      </c>
      <c r="B88" s="177" t="s">
        <v>38</v>
      </c>
      <c r="C88" s="155"/>
      <c r="D88" s="190">
        <v>109095925.28603294</v>
      </c>
      <c r="E88" s="191">
        <v>5.0000000000000001E-4</v>
      </c>
      <c r="F88" s="192">
        <f t="shared" ref="F88:F94" si="13">D88*E88</f>
        <v>54547.962643016472</v>
      </c>
      <c r="H88" s="190">
        <v>19610270.145717047</v>
      </c>
      <c r="I88" s="191">
        <v>5.0000000000000001E-4</v>
      </c>
      <c r="J88" s="192">
        <f t="shared" ref="J88:J94" si="14">H88*I88</f>
        <v>9805.1350728585239</v>
      </c>
      <c r="K88" s="152"/>
    </row>
    <row r="89" spans="1:11">
      <c r="A89" s="153" t="str">
        <f t="shared" si="12"/>
        <v>GS 50 to 999 KW</v>
      </c>
      <c r="B89" s="177" t="s">
        <v>38</v>
      </c>
      <c r="C89" s="155"/>
      <c r="D89" s="190">
        <v>105726242.36939764</v>
      </c>
      <c r="E89" s="191">
        <v>5.0000000000000001E-4</v>
      </c>
      <c r="F89" s="192">
        <f t="shared" si="13"/>
        <v>52863.121184698823</v>
      </c>
      <c r="H89" s="190">
        <v>222309226.14441043</v>
      </c>
      <c r="I89" s="191">
        <v>5.0000000000000001E-4</v>
      </c>
      <c r="J89" s="192">
        <f t="shared" si="14"/>
        <v>111154.61307220522</v>
      </c>
      <c r="K89" s="152"/>
    </row>
    <row r="90" spans="1:11">
      <c r="A90" s="153" t="str">
        <f t="shared" si="12"/>
        <v xml:space="preserve">GS 1000 to 4999 KW </v>
      </c>
      <c r="B90" s="177" t="s">
        <v>38</v>
      </c>
      <c r="C90" s="155"/>
      <c r="D90" s="190">
        <v>0</v>
      </c>
      <c r="E90" s="191">
        <v>5.0000000000000001E-4</v>
      </c>
      <c r="F90" s="192">
        <f t="shared" si="13"/>
        <v>0</v>
      </c>
      <c r="H90" s="190">
        <v>76465711.414521128</v>
      </c>
      <c r="I90" s="191">
        <v>5.0000000000000001E-4</v>
      </c>
      <c r="J90" s="192">
        <f t="shared" si="14"/>
        <v>38232.855707260562</v>
      </c>
      <c r="K90" s="152"/>
    </row>
    <row r="91" spans="1:11">
      <c r="A91" s="153" t="str">
        <f t="shared" si="12"/>
        <v>Large User</v>
      </c>
      <c r="B91" s="177" t="s">
        <v>38</v>
      </c>
      <c r="C91" s="155"/>
      <c r="D91" s="190">
        <v>0</v>
      </c>
      <c r="E91" s="191">
        <v>5.0000000000000001E-4</v>
      </c>
      <c r="F91" s="192">
        <f t="shared" si="13"/>
        <v>0</v>
      </c>
      <c r="H91" s="190">
        <v>38878939</v>
      </c>
      <c r="I91" s="191">
        <v>5.0000000000000001E-4</v>
      </c>
      <c r="J91" s="192">
        <f t="shared" si="14"/>
        <v>19439.469499999999</v>
      </c>
      <c r="K91" s="152"/>
    </row>
    <row r="92" spans="1:11">
      <c r="A92" s="153" t="str">
        <f t="shared" si="12"/>
        <v xml:space="preserve">Unmetered </v>
      </c>
      <c r="B92" s="177" t="s">
        <v>38</v>
      </c>
      <c r="C92" s="155"/>
      <c r="D92" s="190">
        <v>2506366.7821648996</v>
      </c>
      <c r="E92" s="191">
        <v>5.0000000000000001E-4</v>
      </c>
      <c r="F92" s="192">
        <f t="shared" si="13"/>
        <v>1253.1833910824498</v>
      </c>
      <c r="H92" s="190">
        <v>0</v>
      </c>
      <c r="I92" s="191">
        <v>5.0000000000000001E-4</v>
      </c>
      <c r="J92" s="192">
        <f t="shared" si="14"/>
        <v>0</v>
      </c>
      <c r="K92" s="152"/>
    </row>
    <row r="93" spans="1:11">
      <c r="A93" s="153" t="str">
        <f t="shared" si="12"/>
        <v>Sentinel</v>
      </c>
      <c r="B93" s="177" t="s">
        <v>38</v>
      </c>
      <c r="C93" s="155"/>
      <c r="D93" s="190">
        <v>24360.100098803348</v>
      </c>
      <c r="E93" s="191">
        <v>5.0000000000000001E-4</v>
      </c>
      <c r="F93" s="192">
        <f t="shared" si="13"/>
        <v>12.180050049401675</v>
      </c>
      <c r="H93" s="190">
        <v>0</v>
      </c>
      <c r="I93" s="191">
        <v>5.0000000000000001E-4</v>
      </c>
      <c r="J93" s="192">
        <f t="shared" si="14"/>
        <v>0</v>
      </c>
      <c r="K93" s="152"/>
    </row>
    <row r="94" spans="1:11">
      <c r="A94" s="153" t="s">
        <v>45</v>
      </c>
      <c r="B94" s="177" t="s">
        <v>38</v>
      </c>
      <c r="C94" s="159"/>
      <c r="D94" s="190">
        <v>0</v>
      </c>
      <c r="E94" s="191">
        <v>5.0000000000000001E-4</v>
      </c>
      <c r="F94" s="192">
        <f t="shared" si="13"/>
        <v>0</v>
      </c>
      <c r="H94" s="190">
        <v>4555628.4416360287</v>
      </c>
      <c r="I94" s="191">
        <v>5.0000000000000001E-4</v>
      </c>
      <c r="J94" s="192">
        <f t="shared" si="14"/>
        <v>2277.8142208180143</v>
      </c>
      <c r="K94" s="67"/>
    </row>
    <row r="95" spans="1:11">
      <c r="A95" s="145" t="s">
        <v>70</v>
      </c>
      <c r="B95" s="177"/>
      <c r="C95" s="202"/>
      <c r="D95" s="183"/>
      <c r="E95" s="154"/>
      <c r="F95" s="183">
        <f>SUM(F87:F94)</f>
        <v>349628.10742474848</v>
      </c>
      <c r="G95" s="154"/>
      <c r="H95" s="153"/>
      <c r="I95" s="154"/>
      <c r="J95" s="183">
        <f>SUM(J87:J94)</f>
        <v>188205.76119650711</v>
      </c>
      <c r="K95" s="192">
        <f>F95+J95</f>
        <v>537833.86862125562</v>
      </c>
    </row>
    <row r="96" spans="1:11">
      <c r="C96" s="11"/>
    </row>
    <row r="97" spans="1:11">
      <c r="A97" s="140" t="s">
        <v>83</v>
      </c>
      <c r="B97" s="169"/>
      <c r="C97" s="142"/>
      <c r="D97" s="171" t="s">
        <v>64</v>
      </c>
      <c r="E97" s="170" t="s">
        <v>65</v>
      </c>
      <c r="F97" s="152" t="s">
        <v>66</v>
      </c>
      <c r="G97" s="126"/>
      <c r="H97" s="172" t="s">
        <v>64</v>
      </c>
      <c r="I97" s="170" t="s">
        <v>65</v>
      </c>
      <c r="J97" s="152" t="s">
        <v>66</v>
      </c>
      <c r="K97" s="169" t="s">
        <v>61</v>
      </c>
    </row>
    <row r="98" spans="1:11">
      <c r="A98" s="145" t="s">
        <v>72</v>
      </c>
      <c r="B98" s="188"/>
      <c r="C98" s="142"/>
      <c r="D98" s="174"/>
      <c r="E98" s="186"/>
      <c r="F98" s="152"/>
      <c r="G98" s="9"/>
      <c r="H98" s="189"/>
      <c r="I98" s="186"/>
      <c r="J98" s="152"/>
      <c r="K98" s="188"/>
    </row>
    <row r="99" spans="1:11">
      <c r="A99" s="153" t="str">
        <f t="shared" ref="A99:A105" si="15">IF(A87=0,"",A87)</f>
        <v>Residential</v>
      </c>
      <c r="B99" s="177" t="s">
        <v>84</v>
      </c>
      <c r="C99" s="155"/>
      <c r="D99" s="190"/>
      <c r="E99" s="190"/>
      <c r="F99" s="153">
        <f>D99*E99</f>
        <v>0</v>
      </c>
      <c r="H99" s="190"/>
      <c r="I99" s="190"/>
      <c r="J99" s="153">
        <f>H99*I99</f>
        <v>0</v>
      </c>
      <c r="K99" s="152"/>
    </row>
    <row r="100" spans="1:11">
      <c r="A100" s="153" t="str">
        <f t="shared" si="15"/>
        <v>GS &lt; 50 KW</v>
      </c>
      <c r="B100" s="177" t="s">
        <v>84</v>
      </c>
      <c r="C100" s="155"/>
      <c r="D100" s="190"/>
      <c r="E100" s="190"/>
      <c r="F100" s="153">
        <f t="shared" ref="F100:F105" si="16">D100*E100</f>
        <v>0</v>
      </c>
      <c r="H100" s="190"/>
      <c r="I100" s="190"/>
      <c r="J100" s="153">
        <f t="shared" ref="J100:J105" si="17">H100*I100</f>
        <v>0</v>
      </c>
      <c r="K100" s="152"/>
    </row>
    <row r="101" spans="1:11">
      <c r="A101" s="153" t="str">
        <f t="shared" si="15"/>
        <v>GS 50 to 999 KW</v>
      </c>
      <c r="B101" s="67" t="s">
        <v>76</v>
      </c>
      <c r="C101" s="203"/>
      <c r="D101" s="190"/>
      <c r="E101" s="190"/>
      <c r="F101" s="153">
        <f t="shared" si="16"/>
        <v>0</v>
      </c>
      <c r="H101" s="190"/>
      <c r="I101" s="190"/>
      <c r="J101" s="153">
        <f t="shared" si="17"/>
        <v>0</v>
      </c>
      <c r="K101" s="152"/>
    </row>
    <row r="102" spans="1:11">
      <c r="A102" s="153" t="str">
        <f t="shared" si="15"/>
        <v xml:space="preserve">GS 1000 to 4999 KW </v>
      </c>
      <c r="B102" s="67" t="s">
        <v>76</v>
      </c>
      <c r="C102" s="203"/>
      <c r="D102" s="190"/>
      <c r="E102" s="190"/>
      <c r="F102" s="153">
        <f t="shared" si="16"/>
        <v>0</v>
      </c>
      <c r="H102" s="190"/>
      <c r="I102" s="190"/>
      <c r="J102" s="153">
        <f t="shared" si="17"/>
        <v>0</v>
      </c>
      <c r="K102" s="152"/>
    </row>
    <row r="103" spans="1:11">
      <c r="A103" s="153" t="str">
        <f t="shared" si="15"/>
        <v>Large User</v>
      </c>
      <c r="B103" s="67" t="s">
        <v>76</v>
      </c>
      <c r="C103" s="203"/>
      <c r="D103" s="190"/>
      <c r="E103" s="190"/>
      <c r="F103" s="153">
        <f t="shared" si="16"/>
        <v>0</v>
      </c>
      <c r="H103" s="190"/>
      <c r="I103" s="190"/>
      <c r="J103" s="153">
        <f t="shared" si="17"/>
        <v>0</v>
      </c>
      <c r="K103" s="152"/>
    </row>
    <row r="104" spans="1:11">
      <c r="A104" s="153" t="str">
        <f t="shared" si="15"/>
        <v xml:space="preserve">Unmetered </v>
      </c>
      <c r="B104" s="67" t="s">
        <v>84</v>
      </c>
      <c r="C104" s="155"/>
      <c r="D104" s="190"/>
      <c r="E104" s="190"/>
      <c r="F104" s="153">
        <f t="shared" si="16"/>
        <v>0</v>
      </c>
      <c r="H104" s="190"/>
      <c r="I104" s="190"/>
      <c r="J104" s="153">
        <f t="shared" si="17"/>
        <v>0</v>
      </c>
      <c r="K104" s="152"/>
    </row>
    <row r="105" spans="1:11">
      <c r="A105" s="153" t="str">
        <f t="shared" si="15"/>
        <v>Sentinel</v>
      </c>
      <c r="B105" s="177" t="s">
        <v>84</v>
      </c>
      <c r="C105" s="155"/>
      <c r="D105" s="190"/>
      <c r="E105" s="190"/>
      <c r="F105" s="153">
        <f t="shared" si="16"/>
        <v>0</v>
      </c>
      <c r="H105" s="190"/>
      <c r="I105" s="190"/>
      <c r="J105" s="153">
        <f t="shared" si="17"/>
        <v>0</v>
      </c>
      <c r="K105" s="152"/>
    </row>
    <row r="106" spans="1:11">
      <c r="A106" s="145" t="s">
        <v>70</v>
      </c>
      <c r="B106" s="177"/>
      <c r="C106" s="147"/>
      <c r="D106" s="204">
        <f>SUM(D99:D105)</f>
        <v>0</v>
      </c>
      <c r="E106" s="154"/>
      <c r="F106" s="154">
        <f>SUM(F99:F105)</f>
        <v>0</v>
      </c>
      <c r="G106" s="154"/>
      <c r="H106" s="153"/>
      <c r="I106" s="154"/>
      <c r="J106" s="154">
        <f>SUM(J99:J105)</f>
        <v>0</v>
      </c>
      <c r="K106" s="153">
        <f>F106+J106</f>
        <v>0</v>
      </c>
    </row>
    <row r="107" spans="1:11">
      <c r="C107" s="11"/>
    </row>
    <row r="108" spans="1:11">
      <c r="A108" s="140" t="s">
        <v>85</v>
      </c>
      <c r="B108" s="170"/>
      <c r="C108" s="142"/>
      <c r="D108" s="171" t="s">
        <v>86</v>
      </c>
      <c r="E108" s="170" t="s">
        <v>65</v>
      </c>
      <c r="F108" s="152" t="s">
        <v>66</v>
      </c>
      <c r="G108" s="126"/>
      <c r="H108" s="169" t="s">
        <v>86</v>
      </c>
      <c r="I108" s="170" t="s">
        <v>65</v>
      </c>
      <c r="J108" s="152" t="s">
        <v>66</v>
      </c>
      <c r="K108" s="169" t="s">
        <v>61</v>
      </c>
    </row>
    <row r="109" spans="1:11">
      <c r="A109" s="145" t="s">
        <v>72</v>
      </c>
      <c r="B109" s="186"/>
      <c r="C109" s="142"/>
      <c r="D109" s="174"/>
      <c r="E109" s="186"/>
      <c r="F109" s="152"/>
      <c r="G109" s="9"/>
      <c r="H109" s="188"/>
      <c r="I109" s="186"/>
      <c r="J109" s="152"/>
      <c r="K109" s="188"/>
    </row>
    <row r="110" spans="1:11">
      <c r="A110" s="205" t="s">
        <v>87</v>
      </c>
      <c r="B110" s="177"/>
      <c r="C110" s="155"/>
      <c r="D110" s="190">
        <v>54538.365983238735</v>
      </c>
      <c r="E110" s="206">
        <v>0.56999999999999995</v>
      </c>
      <c r="F110" s="192">
        <f>D110*E110*12</f>
        <v>373042.42332535289</v>
      </c>
      <c r="H110" s="190">
        <v>1651.3894346321292</v>
      </c>
      <c r="I110" s="206">
        <v>0.56999999999999995</v>
      </c>
      <c r="J110" s="192">
        <f>H110*I110*12</f>
        <v>11295.503732883762</v>
      </c>
      <c r="K110" s="152"/>
    </row>
    <row r="111" spans="1:11">
      <c r="A111" s="153" t="s">
        <v>39</v>
      </c>
      <c r="B111" s="177"/>
      <c r="C111" s="155"/>
      <c r="D111" s="190">
        <v>3618.6752157723881</v>
      </c>
      <c r="E111" s="206">
        <v>0.56999999999999995</v>
      </c>
      <c r="F111" s="192">
        <f>D111*E111*12</f>
        <v>24751.738475883132</v>
      </c>
      <c r="H111" s="190">
        <v>650.46607712297896</v>
      </c>
      <c r="I111" s="206">
        <v>0.56999999999999995</v>
      </c>
      <c r="J111" s="192">
        <f>H111*I111*12</f>
        <v>4449.1879675211758</v>
      </c>
      <c r="K111" s="152"/>
    </row>
    <row r="112" spans="1:11">
      <c r="A112" s="200"/>
      <c r="B112" s="177"/>
      <c r="C112" s="155"/>
      <c r="D112" s="190"/>
      <c r="E112" s="190"/>
      <c r="F112" s="192">
        <f>D112*E112*12</f>
        <v>0</v>
      </c>
      <c r="H112" s="190"/>
      <c r="I112" s="190"/>
      <c r="J112" s="192"/>
      <c r="K112" s="67"/>
    </row>
    <row r="113" spans="1:11">
      <c r="A113" s="207" t="s">
        <v>70</v>
      </c>
      <c r="B113" s="177"/>
      <c r="C113" s="155"/>
      <c r="D113" s="153"/>
      <c r="E113" s="153"/>
      <c r="F113" s="192">
        <f>SUM(F110:F112)</f>
        <v>397794.16180123604</v>
      </c>
      <c r="G113" s="153"/>
      <c r="H113" s="153"/>
      <c r="I113" s="153"/>
      <c r="J113" s="192">
        <f>SUM(J110:J111)</f>
        <v>15744.691700404939</v>
      </c>
      <c r="K113" s="192">
        <f>F113+J113</f>
        <v>413538.85350164096</v>
      </c>
    </row>
    <row r="114" spans="1:11">
      <c r="A114" s="153"/>
      <c r="B114" s="153"/>
      <c r="C114" s="155"/>
      <c r="D114" s="153"/>
      <c r="E114" s="153"/>
      <c r="F114" s="153"/>
      <c r="G114" s="153"/>
      <c r="H114" s="153"/>
      <c r="I114" s="153"/>
      <c r="J114" s="153"/>
    </row>
    <row r="115" spans="1:11">
      <c r="A115" s="145" t="s">
        <v>88</v>
      </c>
      <c r="B115" s="153"/>
      <c r="C115" s="155"/>
      <c r="D115" s="153"/>
      <c r="E115" s="153"/>
      <c r="F115" s="192">
        <f>SUM(F21+F46+F59+F71+F95+F106+F113)</f>
        <v>100907226.64594288</v>
      </c>
      <c r="G115" s="153"/>
      <c r="H115" s="153"/>
      <c r="I115" s="153"/>
      <c r="J115" s="192">
        <f>J21+J33+J46+J59+J71+J95+J106+J83+J113</f>
        <v>51858858.969606124</v>
      </c>
      <c r="K115" s="208">
        <f>+F115+J115</f>
        <v>152766085.615549</v>
      </c>
    </row>
    <row r="116" spans="1:11" ht="15" thickBot="1">
      <c r="A116" s="145" t="s">
        <v>89</v>
      </c>
      <c r="B116" s="209">
        <v>0.21199999999999999</v>
      </c>
      <c r="C116" s="155"/>
      <c r="D116" s="153"/>
      <c r="E116" s="153"/>
      <c r="F116" s="210">
        <f>-F115*B116</f>
        <v>-21392332.048939891</v>
      </c>
      <c r="G116" s="153"/>
      <c r="H116" s="153"/>
      <c r="I116" s="153"/>
      <c r="J116" s="153">
        <v>0</v>
      </c>
      <c r="K116" s="208">
        <f>+F116+J116</f>
        <v>-21392332.048939891</v>
      </c>
    </row>
    <row r="117" spans="1:11" ht="15" thickBot="1">
      <c r="A117" s="145" t="s">
        <v>46</v>
      </c>
      <c r="B117" s="211"/>
      <c r="C117" s="212"/>
      <c r="D117" s="145"/>
      <c r="E117" s="145"/>
      <c r="F117" s="213">
        <f>+F115+F116</f>
        <v>79514894.597002983</v>
      </c>
      <c r="G117" s="145"/>
      <c r="H117" s="145"/>
      <c r="I117" s="145"/>
      <c r="J117" s="213">
        <f>+J115+J116</f>
        <v>51858858.969606124</v>
      </c>
      <c r="K117" s="213">
        <f>+K115+K116</f>
        <v>131373753.56660911</v>
      </c>
    </row>
    <row r="118" spans="1:11" ht="15" thickTop="1">
      <c r="A118" s="214" t="s">
        <v>90</v>
      </c>
    </row>
    <row r="119" spans="1:11">
      <c r="A119" s="214" t="s">
        <v>91</v>
      </c>
    </row>
    <row r="120" spans="1:11">
      <c r="A120" s="215"/>
    </row>
    <row r="121" spans="1:11">
      <c r="D121" s="216" t="str">
        <f>D10 &amp; " - Cop"</f>
        <v>2021 Test Year - Cop</v>
      </c>
      <c r="E121" s="216"/>
    </row>
    <row r="122" spans="1:11">
      <c r="D122" s="153" t="s">
        <v>92</v>
      </c>
      <c r="E122" s="217">
        <f>K21</f>
        <v>96192832.71704939</v>
      </c>
      <c r="F122" s="218">
        <f>F21*-B116</f>
        <v>-18789713.749220833</v>
      </c>
      <c r="H122" s="217">
        <f>E122+F122</f>
        <v>77403118.967828557</v>
      </c>
    </row>
    <row r="123" spans="1:11">
      <c r="D123" s="153" t="s">
        <v>93</v>
      </c>
      <c r="E123" s="165">
        <f>K33</f>
        <v>37687528.078998737</v>
      </c>
      <c r="F123" s="218">
        <f>F33*-B116</f>
        <v>0</v>
      </c>
      <c r="H123" s="165">
        <f t="shared" ref="H123:H128" si="18">E123+F123</f>
        <v>37687528.078998737</v>
      </c>
    </row>
    <row r="124" spans="1:11">
      <c r="D124" s="153" t="s">
        <v>94</v>
      </c>
      <c r="E124" s="165">
        <f>K71+K83+K95</f>
        <v>4200014.0502020614</v>
      </c>
      <c r="F124" s="218">
        <f>(F71+F83+F95)*-B116</f>
        <v>-578145.03843756416</v>
      </c>
      <c r="H124" s="165">
        <f t="shared" si="18"/>
        <v>3621869.0117644975</v>
      </c>
    </row>
    <row r="125" spans="1:11">
      <c r="D125" s="153" t="s">
        <v>95</v>
      </c>
      <c r="E125" s="165">
        <f>K46</f>
        <v>7779892.983119254</v>
      </c>
      <c r="F125" s="218">
        <f>F46*-B116</f>
        <v>-1068677.9369884699</v>
      </c>
      <c r="H125" s="165">
        <f t="shared" si="18"/>
        <v>6711215.0461307839</v>
      </c>
    </row>
    <row r="126" spans="1:11">
      <c r="D126" s="153" t="s">
        <v>96</v>
      </c>
      <c r="E126" s="165">
        <f>K59</f>
        <v>6492278.9326778967</v>
      </c>
      <c r="F126" s="218">
        <f>F59*-B116</f>
        <v>-871462.96199115971</v>
      </c>
      <c r="H126" s="165">
        <f t="shared" si="18"/>
        <v>5620815.9706867374</v>
      </c>
    </row>
    <row r="127" spans="1:11">
      <c r="D127" s="153" t="s">
        <v>97</v>
      </c>
      <c r="E127" s="165">
        <f>K106</f>
        <v>0</v>
      </c>
      <c r="F127" s="218"/>
      <c r="H127" s="165">
        <f t="shared" si="18"/>
        <v>0</v>
      </c>
    </row>
    <row r="128" spans="1:11">
      <c r="D128" s="153" t="s">
        <v>98</v>
      </c>
      <c r="E128" s="165">
        <f>K113</f>
        <v>413538.85350164096</v>
      </c>
      <c r="F128" s="218">
        <f>F113*-B116</f>
        <v>-84332.362301862042</v>
      </c>
      <c r="H128" s="165">
        <f t="shared" si="18"/>
        <v>329206.49119977892</v>
      </c>
    </row>
    <row r="129" spans="4:8">
      <c r="D129" s="153" t="s">
        <v>99</v>
      </c>
      <c r="E129" s="165">
        <f>+K116</f>
        <v>-21392332.048939891</v>
      </c>
      <c r="F129" s="218">
        <f t="shared" ref="F129" si="19">F28*-B123</f>
        <v>0</v>
      </c>
      <c r="H129" s="165"/>
    </row>
    <row r="130" spans="4:8">
      <c r="D130" s="145" t="s">
        <v>46</v>
      </c>
      <c r="E130" s="219">
        <f>SUM(E122:E129)</f>
        <v>131373753.56660911</v>
      </c>
      <c r="F130" s="218">
        <f>SUM(F122:F129)</f>
        <v>-21392332.048939891</v>
      </c>
      <c r="H130" s="219">
        <f>SUM(H122:H129)</f>
        <v>131373753.56660907</v>
      </c>
    </row>
    <row r="131" spans="4:8">
      <c r="E131" s="130">
        <f>+E130-K117</f>
        <v>0</v>
      </c>
      <c r="F131" s="218"/>
      <c r="H131" s="130"/>
    </row>
  </sheetData>
  <mergeCells count="81">
    <mergeCell ref="K110:K111"/>
    <mergeCell ref="D121:E121"/>
    <mergeCell ref="K99:K105"/>
    <mergeCell ref="B108:B109"/>
    <mergeCell ref="D108:D109"/>
    <mergeCell ref="E108:E109"/>
    <mergeCell ref="F108:F109"/>
    <mergeCell ref="H108:H109"/>
    <mergeCell ref="I108:I109"/>
    <mergeCell ref="J108:J109"/>
    <mergeCell ref="K108:K109"/>
    <mergeCell ref="K87:K93"/>
    <mergeCell ref="B97:B98"/>
    <mergeCell ref="D97:D98"/>
    <mergeCell ref="E97:E98"/>
    <mergeCell ref="F97:F98"/>
    <mergeCell ref="H97:H98"/>
    <mergeCell ref="I97:I98"/>
    <mergeCell ref="J97:J98"/>
    <mergeCell ref="K97:K98"/>
    <mergeCell ref="K75:K81"/>
    <mergeCell ref="B85:B86"/>
    <mergeCell ref="D85:D86"/>
    <mergeCell ref="E85:E86"/>
    <mergeCell ref="F85:F86"/>
    <mergeCell ref="H85:H86"/>
    <mergeCell ref="I85:I86"/>
    <mergeCell ref="J85:J86"/>
    <mergeCell ref="K85:K86"/>
    <mergeCell ref="K63:K69"/>
    <mergeCell ref="B73:B74"/>
    <mergeCell ref="D73:D74"/>
    <mergeCell ref="E73:E74"/>
    <mergeCell ref="F73:F74"/>
    <mergeCell ref="H73:H74"/>
    <mergeCell ref="I73:I74"/>
    <mergeCell ref="J73:J74"/>
    <mergeCell ref="K73:K74"/>
    <mergeCell ref="K50:K57"/>
    <mergeCell ref="B61:B62"/>
    <mergeCell ref="D61:D62"/>
    <mergeCell ref="E61:E62"/>
    <mergeCell ref="F61:F62"/>
    <mergeCell ref="H61:H62"/>
    <mergeCell ref="I61:I62"/>
    <mergeCell ref="J61:J62"/>
    <mergeCell ref="K61:K62"/>
    <mergeCell ref="K37:K44"/>
    <mergeCell ref="B48:B49"/>
    <mergeCell ref="D48:D49"/>
    <mergeCell ref="E48:E49"/>
    <mergeCell ref="F48:F49"/>
    <mergeCell ref="H48:H49"/>
    <mergeCell ref="I48:I49"/>
    <mergeCell ref="J48:J49"/>
    <mergeCell ref="K48:K49"/>
    <mergeCell ref="K25:K31"/>
    <mergeCell ref="B35:B36"/>
    <mergeCell ref="D35:D36"/>
    <mergeCell ref="E35:E36"/>
    <mergeCell ref="F35:F36"/>
    <mergeCell ref="H35:H36"/>
    <mergeCell ref="I35:I36"/>
    <mergeCell ref="J35:J36"/>
    <mergeCell ref="K35:K36"/>
    <mergeCell ref="K12:K19"/>
    <mergeCell ref="I22:J22"/>
    <mergeCell ref="B23:B24"/>
    <mergeCell ref="D23:D24"/>
    <mergeCell ref="E23:E24"/>
    <mergeCell ref="F23:F24"/>
    <mergeCell ref="H23:H24"/>
    <mergeCell ref="I23:I24"/>
    <mergeCell ref="J23:J24"/>
    <mergeCell ref="K23:K24"/>
    <mergeCell ref="A1:J1"/>
    <mergeCell ref="E9:F9"/>
    <mergeCell ref="I9:J9"/>
    <mergeCell ref="E10:F10"/>
    <mergeCell ref="I10:J10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 ZA</vt:lpstr>
      <vt:lpstr>App.2 ZB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dcterms:created xsi:type="dcterms:W3CDTF">2020-12-24T22:23:47Z</dcterms:created>
  <dcterms:modified xsi:type="dcterms:W3CDTF">2020-12-24T22:26:49Z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