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R:\OEB\OEB Rate Applications\2021 CoS Rate Application_Working File\28b. Models for IRs\"/>
    </mc:Choice>
  </mc:AlternateContent>
  <bookViews>
    <workbookView xWindow="0" yWindow="0" windowWidth="23040" windowHeight="10620" tabRatio="835" activeTab="1"/>
  </bookViews>
  <sheets>
    <sheet name="1. Load Forecast Summary" sheetId="24" r:id="rId1"/>
    <sheet name="2a. Power Purchased Model " sheetId="18" r:id="rId2"/>
    <sheet name="Regression Input" sheetId="46" r:id="rId3"/>
    <sheet name="Regression Results" sheetId="47" r:id="rId4"/>
    <sheet name="2b. Power Purchase 20yr HDD-CDD" sheetId="31" r:id="rId5"/>
    <sheet name="3a. Rate Class Energy Model" sheetId="21" r:id="rId6"/>
    <sheet name="3b. Rate Class Customer Model" sheetId="22" r:id="rId7"/>
    <sheet name="3c. Rate Class Load Model" sheetId="23" r:id="rId8"/>
    <sheet name="4a. Variables" sheetId="14" r:id="rId9"/>
    <sheet name="4b. HDD-CDD" sheetId="32" r:id="rId10"/>
    <sheet name="5a. Metered Consumption" sheetId="1" r:id="rId11"/>
    <sheet name="5b. Monthly Demand" sheetId="12" r:id="rId12"/>
    <sheet name="5c. Customer Count-Connections" sheetId="13" r:id="rId13"/>
    <sheet name="5d. Streetlights LED Conv" sheetId="29" r:id="rId14"/>
  </sheets>
  <externalReferences>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s>
  <definedNames>
    <definedName name="_Order1" hidden="1">255</definedName>
    <definedName name="_Sort" hidden="1">[1]Sheet1!$G$40:$K$40</definedName>
    <definedName name="AllVariables">'[2]5.Variables'!$B$114:$B$120</definedName>
    <definedName name="BI_LDCLIST">'[3]3. Rate Class Selection'!$B$19:$B$21</definedName>
    <definedName name="BridgeYear">'[4]LDC Info'!$E$26</definedName>
    <definedName name="CAfile">[5]Refs!$B$2</definedName>
    <definedName name="CArevReq">[5]Refs!$B$6</definedName>
    <definedName name="ClassRange1">[5]Refs!$B$3</definedName>
    <definedName name="ClassRange2">[5]Refs!$B$4</definedName>
    <definedName name="contactf">#REF!</definedName>
    <definedName name="CustomerAdministration">[4]lists!$Z$1:$Z$36</definedName>
    <definedName name="EBNUMBER">'[4]LDC Info'!$E$16</definedName>
    <definedName name="Fixed_Charges">[4]lists!$I$1:$I$212</definedName>
    <definedName name="FolderPath">[5]Menu!$C$8</definedName>
    <definedName name="histdate">[6]Financials!$E$76</definedName>
    <definedName name="Incr2000">#REF!</definedName>
    <definedName name="LDC_LIST">[7]lists!$AM$1:$AM$80</definedName>
    <definedName name="LIMIT">#REF!</definedName>
    <definedName name="LossFactors">[4]lists!$L$2:$L$15</definedName>
    <definedName name="man_beg_bud">#REF!</definedName>
    <definedName name="man_end_bud">#REF!</definedName>
    <definedName name="man12ACT">#REF!</definedName>
    <definedName name="MANBUD">#REF!</definedName>
    <definedName name="manCYACT">#REF!</definedName>
    <definedName name="manCYBUD">#REF!</definedName>
    <definedName name="manCYF">#REF!</definedName>
    <definedName name="MANEND">#REF!</definedName>
    <definedName name="manNYbud">#REF!</definedName>
    <definedName name="manpower_costs">#REF!</definedName>
    <definedName name="manPYACT">#REF!</definedName>
    <definedName name="MANSTART">#REF!</definedName>
    <definedName name="mat_beg_bud">#REF!</definedName>
    <definedName name="mat_end_bud">#REF!</definedName>
    <definedName name="mat12ACT">#REF!</definedName>
    <definedName name="MATBUD">#REF!</definedName>
    <definedName name="matCYACT">#REF!</definedName>
    <definedName name="matCYBUD">#REF!</definedName>
    <definedName name="matCYF">#REF!</definedName>
    <definedName name="MATEND">#REF!</definedName>
    <definedName name="material_costs">#REF!</definedName>
    <definedName name="matNYbud">#REF!</definedName>
    <definedName name="matPYACT">#REF!</definedName>
    <definedName name="MATSTART">#REF!</definedName>
    <definedName name="NewRevReq">[5]Refs!$B$8</definedName>
    <definedName name="NonPayment">[4]lists!$AA$1:$AA$71</definedName>
    <definedName name="oth_beg_bud">#REF!</definedName>
    <definedName name="oth_end_bud">#REF!</definedName>
    <definedName name="oth12ACT">#REF!</definedName>
    <definedName name="othCYACT">#REF!</definedName>
    <definedName name="othCYBUD">#REF!</definedName>
    <definedName name="othCYF">#REF!</definedName>
    <definedName name="OTHEND">#REF!</definedName>
    <definedName name="other_costs">#REF!</definedName>
    <definedName name="OTHERBUD">#REF!</definedName>
    <definedName name="othNYbud">#REF!</definedName>
    <definedName name="othPYACT">#REF!</definedName>
    <definedName name="OTHSTART">#REF!</definedName>
    <definedName name="PAGE11">#REF!</definedName>
    <definedName name="PAGE2">[1]Sheet1!$A$1:$I$40</definedName>
    <definedName name="PAGE3">#REF!</definedName>
    <definedName name="PAGE4">#REF!</definedName>
    <definedName name="PAGE7">#REF!</definedName>
    <definedName name="PAGE9">#REF!</definedName>
    <definedName name="_xlnm.Print_Area" localSheetId="1">'2a. Power Purchased Model '!$V$1:$AD$48</definedName>
    <definedName name="_xlnm.Print_Area" localSheetId="4">'2b. Power Purchase 20yr HDD-CDD'!$V$1:$AD$48</definedName>
    <definedName name="print_end">#REF!</definedName>
    <definedName name="Rate_Class">[4]lists!$A$1:$A$104</definedName>
    <definedName name="ratedescription">[8]hidden1!$D$1:$D$122</definedName>
    <definedName name="RebaseYear">'[4]LDC Info'!$E$28</definedName>
    <definedName name="RevReqLookupKey">[5]Refs!$B$5</definedName>
    <definedName name="RevReqRange">[5]Refs!$B$7</definedName>
    <definedName name="SALBENF">#REF!</definedName>
    <definedName name="salreg">#REF!</definedName>
    <definedName name="SALREGF">#REF!</definedName>
    <definedName name="TEMPA">#REF!</definedName>
    <definedName name="TestYear">'[4]LDC Info'!$E$24</definedName>
    <definedName name="total_dept">#REF!</definedName>
    <definedName name="total_manpower">#REF!</definedName>
    <definedName name="total_material">#REF!</definedName>
    <definedName name="total_other">#REF!</definedName>
    <definedName name="total_transportation">#REF!</definedName>
    <definedName name="TRANBUD">#REF!</definedName>
    <definedName name="TRANEND">#REF!</definedName>
    <definedName name="transportation_costs">#REF!</definedName>
    <definedName name="TRANSTART">#REF!</definedName>
    <definedName name="trn_beg_bud">#REF!</definedName>
    <definedName name="trn_end_bud">#REF!</definedName>
    <definedName name="trn12ACT">#REF!</definedName>
    <definedName name="trnCYACT">#REF!</definedName>
    <definedName name="trnCYBUD">#REF!</definedName>
    <definedName name="trnCYF">#REF!</definedName>
    <definedName name="trnNYbud">#REF!</definedName>
    <definedName name="trnPYACT">#REF!</definedName>
    <definedName name="Units">[4]lists!$N$2:$N$5</definedName>
    <definedName name="Utility">[6]Financials!$A$1</definedName>
    <definedName name="utitliy1">[9]Financials!$A$1</definedName>
    <definedName name="Variable1">'[2]5.Variables'!$B$10</definedName>
    <definedName name="Variable2">'[2]5.Variables'!$B$33</definedName>
    <definedName name="Variable3">'[2]5.Variables'!$B$56</definedName>
    <definedName name="Variable5">'[2]5.Variables'!$B$84</definedName>
    <definedName name="Variable6">'[2]5.Variables'!$B$98</definedName>
    <definedName name="Variable7">'[10]5.Variables'!$B$118</definedName>
    <definedName name="WAGBENF">#REF!</definedName>
    <definedName name="wagdob">#REF!</definedName>
    <definedName name="wagdobf">#REF!</definedName>
    <definedName name="wagreg">#REF!</definedName>
    <definedName name="wagregf">#REF!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W31" i="18" l="1"/>
  <c r="Q134" i="18"/>
  <c r="K162" i="18"/>
  <c r="Q162" i="18" s="1"/>
  <c r="Y46" i="18" s="1"/>
  <c r="Y47" i="18"/>
  <c r="Q163" i="18"/>
  <c r="K163" i="18"/>
  <c r="I163" i="18"/>
  <c r="I162" i="18"/>
  <c r="Q3" i="18"/>
  <c r="Q4" i="18"/>
  <c r="Q5" i="18"/>
  <c r="Q6" i="18"/>
  <c r="Q7" i="18"/>
  <c r="Q8" i="18"/>
  <c r="Q9" i="18"/>
  <c r="Q10" i="18"/>
  <c r="Q11" i="18"/>
  <c r="Q12" i="18"/>
  <c r="Q13" i="18"/>
  <c r="Q14" i="18"/>
  <c r="Q15" i="18"/>
  <c r="Q16" i="18"/>
  <c r="Q17" i="18"/>
  <c r="Q18" i="18"/>
  <c r="Q19" i="18"/>
  <c r="Q20" i="18"/>
  <c r="Q21" i="18"/>
  <c r="Q22" i="18"/>
  <c r="Q23" i="18"/>
  <c r="Q24" i="18"/>
  <c r="Q25" i="18"/>
  <c r="Q26" i="18"/>
  <c r="Q27" i="18"/>
  <c r="Q28" i="18"/>
  <c r="Q29" i="18"/>
  <c r="Q30" i="18"/>
  <c r="Q31" i="18"/>
  <c r="Q32" i="18"/>
  <c r="Q33" i="18"/>
  <c r="Q34" i="18"/>
  <c r="Q35" i="18"/>
  <c r="Q36" i="18"/>
  <c r="Q37" i="18"/>
  <c r="Q38" i="18"/>
  <c r="Q39" i="18"/>
  <c r="Q40" i="18"/>
  <c r="Q41" i="18"/>
  <c r="Q42" i="18"/>
  <c r="Q43" i="18"/>
  <c r="Q44" i="18"/>
  <c r="Q45" i="18"/>
  <c r="Q46" i="18"/>
  <c r="Q47" i="18"/>
  <c r="Q48" i="18"/>
  <c r="Q49" i="18"/>
  <c r="Q50" i="18"/>
  <c r="Q51" i="18"/>
  <c r="Q52" i="18"/>
  <c r="Q53" i="18"/>
  <c r="Q54" i="18"/>
  <c r="Q55" i="18"/>
  <c r="Q56" i="18"/>
  <c r="Q57" i="18"/>
  <c r="Q58" i="18"/>
  <c r="Q59" i="18"/>
  <c r="Q60" i="18"/>
  <c r="Q61" i="18"/>
  <c r="Q62" i="18"/>
  <c r="Q63" i="18"/>
  <c r="Q64" i="18"/>
  <c r="Q65" i="18"/>
  <c r="Q66" i="18"/>
  <c r="Q67" i="18"/>
  <c r="Q68" i="18"/>
  <c r="Q69" i="18"/>
  <c r="Q70" i="18"/>
  <c r="Q71" i="18"/>
  <c r="Q72" i="18"/>
  <c r="Q73" i="18"/>
  <c r="Q74" i="18"/>
  <c r="Q75" i="18"/>
  <c r="Q76" i="18"/>
  <c r="Q77" i="18"/>
  <c r="Q78" i="18"/>
  <c r="Q79" i="18"/>
  <c r="Q80" i="18"/>
  <c r="Q81" i="18"/>
  <c r="Q82" i="18"/>
  <c r="Q83" i="18"/>
  <c r="Q84" i="18"/>
  <c r="Q85" i="18"/>
  <c r="Q86" i="18"/>
  <c r="Q87" i="18"/>
  <c r="Q88" i="18"/>
  <c r="Q89" i="18"/>
  <c r="Q90" i="18"/>
  <c r="Q91" i="18"/>
  <c r="Q92" i="18"/>
  <c r="Q93" i="18"/>
  <c r="Q94" i="18"/>
  <c r="Q95" i="18"/>
  <c r="Q96" i="18"/>
  <c r="Q97" i="18"/>
  <c r="Q98" i="18"/>
  <c r="Q99" i="18"/>
  <c r="Q100" i="18"/>
  <c r="Q101" i="18"/>
  <c r="Q102" i="18"/>
  <c r="Q103" i="18"/>
  <c r="Q104" i="18"/>
  <c r="Q105" i="18"/>
  <c r="Q106" i="18"/>
  <c r="Q107" i="18"/>
  <c r="Q108" i="18"/>
  <c r="Q109" i="18"/>
  <c r="Q110" i="18"/>
  <c r="Q111" i="18"/>
  <c r="Q112" i="18"/>
  <c r="Q113" i="18"/>
  <c r="Q114" i="18"/>
  <c r="Q115" i="18"/>
  <c r="Q116" i="18"/>
  <c r="Q117" i="18"/>
  <c r="Q118" i="18"/>
  <c r="Q119" i="18"/>
  <c r="Q120" i="18"/>
  <c r="Q121" i="18"/>
  <c r="Q122" i="18"/>
  <c r="Q123" i="18"/>
  <c r="Q124" i="18"/>
  <c r="Q125" i="18"/>
  <c r="Q126" i="18"/>
  <c r="Q127" i="18"/>
  <c r="Q128" i="18"/>
  <c r="Q129" i="18"/>
  <c r="Q130" i="18"/>
  <c r="Q131" i="18"/>
  <c r="Q132" i="18"/>
  <c r="Q133" i="18"/>
  <c r="Q135" i="18"/>
  <c r="Q136" i="18"/>
  <c r="Q137" i="18"/>
  <c r="Q138" i="18"/>
  <c r="Q139" i="18"/>
  <c r="Q140" i="18"/>
  <c r="Q141" i="18"/>
  <c r="Q142" i="18"/>
  <c r="Q143" i="18"/>
  <c r="Q144" i="18"/>
  <c r="Q145" i="18"/>
  <c r="Q2" i="18"/>
  <c r="Q2" i="31"/>
  <c r="Q3" i="31"/>
  <c r="K161" i="18" l="1"/>
  <c r="K160" i="18"/>
  <c r="K159" i="18"/>
  <c r="K158" i="18"/>
  <c r="K157" i="18"/>
  <c r="K156" i="18"/>
  <c r="K155" i="18"/>
  <c r="K154" i="18"/>
  <c r="K153" i="18"/>
  <c r="K152" i="18"/>
  <c r="F3" i="18"/>
  <c r="F4" i="18"/>
  <c r="F5" i="18"/>
  <c r="F6" i="18"/>
  <c r="F7" i="18"/>
  <c r="F8" i="18"/>
  <c r="F9" i="18"/>
  <c r="F10" i="18"/>
  <c r="F11" i="18"/>
  <c r="F12" i="18"/>
  <c r="F13" i="18"/>
  <c r="F14" i="18"/>
  <c r="F15" i="18"/>
  <c r="F16" i="18"/>
  <c r="F17" i="18"/>
  <c r="F18" i="18"/>
  <c r="F19" i="18"/>
  <c r="F20" i="18"/>
  <c r="F21" i="18"/>
  <c r="F22" i="18"/>
  <c r="F23" i="18"/>
  <c r="F24" i="18"/>
  <c r="F25" i="18"/>
  <c r="F26" i="18"/>
  <c r="F27" i="18"/>
  <c r="F28" i="18"/>
  <c r="F29" i="18"/>
  <c r="F30" i="18"/>
  <c r="F31" i="18"/>
  <c r="F32" i="18"/>
  <c r="F33" i="18"/>
  <c r="F34" i="18"/>
  <c r="F35" i="18"/>
  <c r="F36" i="18"/>
  <c r="F37" i="18"/>
  <c r="F38" i="18"/>
  <c r="F39" i="18"/>
  <c r="F40" i="18"/>
  <c r="F41" i="18"/>
  <c r="F42" i="18"/>
  <c r="F43" i="18"/>
  <c r="F44" i="18"/>
  <c r="F45" i="18"/>
  <c r="F46" i="18"/>
  <c r="F47" i="18"/>
  <c r="F48" i="18"/>
  <c r="F49" i="18"/>
  <c r="F50" i="18"/>
  <c r="F51" i="18"/>
  <c r="F52" i="18"/>
  <c r="F53" i="18"/>
  <c r="F54" i="18"/>
  <c r="F55" i="18"/>
  <c r="F56" i="18"/>
  <c r="F57" i="18"/>
  <c r="F58" i="18"/>
  <c r="F59" i="18"/>
  <c r="F60" i="18"/>
  <c r="F61" i="18"/>
  <c r="F62" i="18"/>
  <c r="F63" i="18"/>
  <c r="F64" i="18"/>
  <c r="F65" i="18"/>
  <c r="F66" i="18"/>
  <c r="F67" i="18"/>
  <c r="F68" i="18"/>
  <c r="F69" i="18"/>
  <c r="F70" i="18"/>
  <c r="F71" i="18"/>
  <c r="F72" i="18"/>
  <c r="F73" i="18"/>
  <c r="F74" i="18"/>
  <c r="F75" i="18"/>
  <c r="F76" i="18"/>
  <c r="F77" i="18"/>
  <c r="F78" i="18"/>
  <c r="F79" i="18"/>
  <c r="F80" i="18"/>
  <c r="F81" i="18"/>
  <c r="F82" i="18"/>
  <c r="F83" i="18"/>
  <c r="F84" i="18"/>
  <c r="F85" i="18"/>
  <c r="F86" i="18"/>
  <c r="F87" i="18"/>
  <c r="F88" i="18"/>
  <c r="F89" i="18"/>
  <c r="F90" i="18"/>
  <c r="F91" i="18"/>
  <c r="F92" i="18"/>
  <c r="F93" i="18"/>
  <c r="F94" i="18"/>
  <c r="F95" i="18"/>
  <c r="F96" i="18"/>
  <c r="F97" i="18"/>
  <c r="F98" i="18"/>
  <c r="F99" i="18"/>
  <c r="F100" i="18"/>
  <c r="F101" i="18"/>
  <c r="F102" i="18"/>
  <c r="F103" i="18"/>
  <c r="F104" i="18"/>
  <c r="F105" i="18"/>
  <c r="F106" i="18"/>
  <c r="F107" i="18"/>
  <c r="F108" i="18"/>
  <c r="F109" i="18"/>
  <c r="F110" i="18"/>
  <c r="F111" i="18"/>
  <c r="F112" i="18"/>
  <c r="F113" i="18"/>
  <c r="F114" i="18"/>
  <c r="F115" i="18"/>
  <c r="F116" i="18"/>
  <c r="F117" i="18"/>
  <c r="F118" i="18"/>
  <c r="F119" i="18"/>
  <c r="F120" i="18"/>
  <c r="F121" i="18"/>
  <c r="F2" i="18"/>
  <c r="B74" i="29" l="1"/>
  <c r="C74" i="29"/>
  <c r="D74" i="29"/>
  <c r="B75" i="29"/>
  <c r="C75" i="29"/>
  <c r="E75" i="29" s="1"/>
  <c r="D75" i="29"/>
  <c r="B76" i="29"/>
  <c r="E76" i="29" s="1"/>
  <c r="C76" i="29"/>
  <c r="D76" i="29"/>
  <c r="B77" i="29"/>
  <c r="C77" i="29"/>
  <c r="D77" i="29"/>
  <c r="B78" i="29"/>
  <c r="E78" i="29" s="1"/>
  <c r="C78" i="29"/>
  <c r="D78" i="29"/>
  <c r="B79" i="29"/>
  <c r="C79" i="29"/>
  <c r="D79" i="29"/>
  <c r="B80" i="29"/>
  <c r="C80" i="29"/>
  <c r="D80" i="29"/>
  <c r="B81" i="29"/>
  <c r="E81" i="29" s="1"/>
  <c r="C81" i="29"/>
  <c r="D81" i="29"/>
  <c r="B82" i="29"/>
  <c r="E82" i="29" s="1"/>
  <c r="C82" i="29"/>
  <c r="D82" i="29"/>
  <c r="B83" i="29"/>
  <c r="E83" i="29" s="1"/>
  <c r="C83" i="29"/>
  <c r="D83" i="29"/>
  <c r="B84" i="29"/>
  <c r="E84" i="29" s="1"/>
  <c r="C84" i="29"/>
  <c r="D84" i="29"/>
  <c r="C73" i="29"/>
  <c r="D73" i="29"/>
  <c r="B73" i="29"/>
  <c r="E74" i="29"/>
  <c r="G74" i="29"/>
  <c r="H74" i="29"/>
  <c r="J74" i="29" s="1"/>
  <c r="I74" i="29"/>
  <c r="G75" i="29"/>
  <c r="H75" i="29"/>
  <c r="J75" i="29" s="1"/>
  <c r="I75" i="29"/>
  <c r="G76" i="29"/>
  <c r="G85" i="29" s="1"/>
  <c r="H76" i="29"/>
  <c r="I76" i="29"/>
  <c r="G77" i="29"/>
  <c r="H77" i="29"/>
  <c r="I77" i="29"/>
  <c r="J77" i="29" s="1"/>
  <c r="G78" i="29"/>
  <c r="H78" i="29"/>
  <c r="I78" i="29"/>
  <c r="G79" i="29"/>
  <c r="H79" i="29"/>
  <c r="I79" i="29"/>
  <c r="G80" i="29"/>
  <c r="H80" i="29"/>
  <c r="I80" i="29"/>
  <c r="G81" i="29"/>
  <c r="H81" i="29"/>
  <c r="I81" i="29"/>
  <c r="G82" i="29"/>
  <c r="H82" i="29"/>
  <c r="I82" i="29"/>
  <c r="G83" i="29"/>
  <c r="H83" i="29"/>
  <c r="J83" i="29" s="1"/>
  <c r="I83" i="29"/>
  <c r="G84" i="29"/>
  <c r="J84" i="29" s="1"/>
  <c r="H84" i="29"/>
  <c r="I84" i="29"/>
  <c r="H73" i="29"/>
  <c r="I73" i="29"/>
  <c r="G73" i="29"/>
  <c r="J82" i="29"/>
  <c r="C108" i="29"/>
  <c r="E108" i="29"/>
  <c r="G108" i="29"/>
  <c r="C109" i="29"/>
  <c r="E109" i="29"/>
  <c r="G109" i="29"/>
  <c r="C110" i="29"/>
  <c r="E110" i="29"/>
  <c r="G110" i="29"/>
  <c r="C111" i="29"/>
  <c r="E111" i="29"/>
  <c r="G111" i="29"/>
  <c r="C112" i="29"/>
  <c r="E112" i="29"/>
  <c r="G112" i="29"/>
  <c r="C113" i="29"/>
  <c r="E113" i="29"/>
  <c r="G113" i="29"/>
  <c r="C114" i="29"/>
  <c r="E114" i="29"/>
  <c r="G114" i="29"/>
  <c r="C115" i="29"/>
  <c r="E115" i="29"/>
  <c r="G115" i="29"/>
  <c r="C116" i="29"/>
  <c r="E116" i="29"/>
  <c r="G116" i="29"/>
  <c r="C117" i="29"/>
  <c r="E117" i="29"/>
  <c r="G117" i="29"/>
  <c r="C118" i="29"/>
  <c r="E118" i="29"/>
  <c r="G118" i="29"/>
  <c r="G107" i="29"/>
  <c r="E107" i="29"/>
  <c r="C107" i="29"/>
  <c r="F91" i="29"/>
  <c r="G91" i="29"/>
  <c r="F92" i="29"/>
  <c r="G92" i="29"/>
  <c r="F93" i="29"/>
  <c r="G93" i="29"/>
  <c r="F94" i="29"/>
  <c r="G94" i="29"/>
  <c r="F95" i="29"/>
  <c r="G95" i="29"/>
  <c r="F96" i="29"/>
  <c r="G96" i="29"/>
  <c r="F97" i="29"/>
  <c r="G97" i="29"/>
  <c r="F98" i="29"/>
  <c r="G98" i="29"/>
  <c r="F99" i="29"/>
  <c r="G99" i="29"/>
  <c r="F100" i="29"/>
  <c r="G100" i="29"/>
  <c r="F101" i="29"/>
  <c r="G101" i="29"/>
  <c r="G90" i="29"/>
  <c r="F90" i="29"/>
  <c r="D91" i="29"/>
  <c r="E91" i="29"/>
  <c r="D92" i="29"/>
  <c r="E92" i="29"/>
  <c r="D93" i="29"/>
  <c r="E93" i="29"/>
  <c r="D94" i="29"/>
  <c r="E94" i="29"/>
  <c r="D95" i="29"/>
  <c r="E95" i="29"/>
  <c r="D96" i="29"/>
  <c r="E96" i="29"/>
  <c r="D97" i="29"/>
  <c r="E97" i="29"/>
  <c r="D98" i="29"/>
  <c r="E98" i="29"/>
  <c r="D99" i="29"/>
  <c r="E99" i="29"/>
  <c r="D100" i="29"/>
  <c r="E100" i="29"/>
  <c r="D101" i="29"/>
  <c r="E101" i="29"/>
  <c r="E90" i="29"/>
  <c r="D90" i="29"/>
  <c r="B91" i="29"/>
  <c r="H91" i="29" s="1"/>
  <c r="C91" i="29"/>
  <c r="B92" i="29"/>
  <c r="C92" i="29"/>
  <c r="I92" i="29" s="1"/>
  <c r="B93" i="29"/>
  <c r="H93" i="29" s="1"/>
  <c r="C93" i="29"/>
  <c r="B94" i="29"/>
  <c r="C94" i="29"/>
  <c r="I94" i="29" s="1"/>
  <c r="B95" i="29"/>
  <c r="H95" i="29" s="1"/>
  <c r="C95" i="29"/>
  <c r="B96" i="29"/>
  <c r="C96" i="29"/>
  <c r="I96" i="29" s="1"/>
  <c r="B97" i="29"/>
  <c r="H97" i="29" s="1"/>
  <c r="C97" i="29"/>
  <c r="I97" i="29" s="1"/>
  <c r="B98" i="29"/>
  <c r="C98" i="29"/>
  <c r="I98" i="29" s="1"/>
  <c r="B99" i="29"/>
  <c r="H99" i="29" s="1"/>
  <c r="C99" i="29"/>
  <c r="B100" i="29"/>
  <c r="C100" i="29"/>
  <c r="I100" i="29" s="1"/>
  <c r="B101" i="29"/>
  <c r="H101" i="29" s="1"/>
  <c r="C101" i="29"/>
  <c r="I101" i="29" s="1"/>
  <c r="C90" i="29"/>
  <c r="B90" i="29"/>
  <c r="H90" i="29" s="1"/>
  <c r="E77" i="29" l="1"/>
  <c r="J79" i="29"/>
  <c r="E80" i="29"/>
  <c r="J78" i="29"/>
  <c r="E79" i="29"/>
  <c r="J81" i="29"/>
  <c r="J80" i="29"/>
  <c r="B85" i="29"/>
  <c r="E73" i="29"/>
  <c r="E85" i="29" s="1"/>
  <c r="J76" i="29"/>
  <c r="J85" i="29" s="1"/>
  <c r="J73" i="29"/>
  <c r="I93" i="29"/>
  <c r="H100" i="29"/>
  <c r="H96" i="29"/>
  <c r="H92" i="29"/>
  <c r="I99" i="29"/>
  <c r="I95" i="29"/>
  <c r="I91" i="29"/>
  <c r="D102" i="29"/>
  <c r="F102" i="29"/>
  <c r="C102" i="29"/>
  <c r="E102" i="29"/>
  <c r="H98" i="29"/>
  <c r="H94" i="29"/>
  <c r="G102" i="29"/>
  <c r="I115" i="29"/>
  <c r="I118" i="29"/>
  <c r="I112" i="29"/>
  <c r="I110" i="29"/>
  <c r="I90" i="29"/>
  <c r="I113" i="29"/>
  <c r="B102" i="29"/>
  <c r="I117" i="29"/>
  <c r="I111" i="29"/>
  <c r="I109" i="29"/>
  <c r="I116" i="29"/>
  <c r="I114" i="29"/>
  <c r="I108" i="29"/>
  <c r="C119" i="29"/>
  <c r="E119" i="29"/>
  <c r="G119" i="29"/>
  <c r="I107" i="29"/>
  <c r="H102" i="29" l="1"/>
  <c r="I102" i="29"/>
  <c r="I119" i="29"/>
  <c r="Q134" i="31" l="1"/>
  <c r="C52" i="32" l="1"/>
  <c r="D52" i="32"/>
  <c r="E52" i="32"/>
  <c r="F52" i="32"/>
  <c r="G52" i="32"/>
  <c r="H52" i="32"/>
  <c r="I52" i="32"/>
  <c r="J52" i="32"/>
  <c r="K52" i="32"/>
  <c r="L52" i="32"/>
  <c r="M52" i="32"/>
  <c r="B52" i="32"/>
  <c r="B26" i="32"/>
  <c r="C26" i="32"/>
  <c r="D26" i="32"/>
  <c r="E26" i="32"/>
  <c r="F26" i="32"/>
  <c r="G26" i="32"/>
  <c r="H26" i="32"/>
  <c r="I26" i="32"/>
  <c r="J26" i="32"/>
  <c r="K26" i="32"/>
  <c r="L26" i="32"/>
  <c r="M26" i="32"/>
  <c r="J51" i="32"/>
  <c r="F51" i="32"/>
  <c r="B51" i="32"/>
  <c r="L50" i="32"/>
  <c r="I50" i="32"/>
  <c r="F50" i="32"/>
  <c r="D50" i="32"/>
  <c r="M50" i="32"/>
  <c r="K50" i="32"/>
  <c r="J50" i="32"/>
  <c r="H50" i="32"/>
  <c r="G50" i="32"/>
  <c r="E50" i="32"/>
  <c r="C50" i="32"/>
  <c r="B50" i="32"/>
  <c r="M51" i="32"/>
  <c r="L51" i="32"/>
  <c r="K51" i="32"/>
  <c r="I51" i="32"/>
  <c r="H51" i="32"/>
  <c r="G51" i="32"/>
  <c r="E51" i="32"/>
  <c r="D51" i="32"/>
  <c r="C51" i="32"/>
  <c r="J25" i="32"/>
  <c r="F25" i="32"/>
  <c r="B25" i="32"/>
  <c r="L24" i="32"/>
  <c r="I24" i="32"/>
  <c r="D24" i="32"/>
  <c r="M24" i="32"/>
  <c r="K24" i="32"/>
  <c r="J24" i="32"/>
  <c r="H24" i="32"/>
  <c r="G24" i="32"/>
  <c r="F24" i="32"/>
  <c r="E24" i="32"/>
  <c r="C24" i="32"/>
  <c r="B24" i="32"/>
  <c r="M25" i="32"/>
  <c r="L25" i="32"/>
  <c r="K25" i="32"/>
  <c r="I25" i="32"/>
  <c r="H25" i="32"/>
  <c r="G25" i="32"/>
  <c r="E25" i="32"/>
  <c r="D25" i="32"/>
  <c r="C25" i="32"/>
  <c r="Q144" i="31" l="1"/>
  <c r="Q143" i="31"/>
  <c r="Q142" i="31"/>
  <c r="Q141" i="31"/>
  <c r="Q138" i="31"/>
  <c r="Q135" i="31"/>
  <c r="Q133" i="31"/>
  <c r="Q131" i="31"/>
  <c r="Q129" i="31"/>
  <c r="Q127" i="31"/>
  <c r="Q126" i="31"/>
  <c r="Q125" i="31"/>
  <c r="Q124" i="31"/>
  <c r="Q123" i="31"/>
  <c r="Q119" i="31"/>
  <c r="R119" i="31" s="1"/>
  <c r="S119" i="31" s="1"/>
  <c r="T119" i="31" s="1"/>
  <c r="Q118" i="31"/>
  <c r="Q117" i="31"/>
  <c r="R117" i="31" s="1"/>
  <c r="S117" i="31" s="1"/>
  <c r="T117" i="31" s="1"/>
  <c r="Q116" i="31"/>
  <c r="Q115" i="31"/>
  <c r="Q114" i="31"/>
  <c r="Q113" i="31"/>
  <c r="R113" i="31" s="1"/>
  <c r="S113" i="31" s="1"/>
  <c r="T113" i="31" s="1"/>
  <c r="Q111" i="31"/>
  <c r="R111" i="31" s="1"/>
  <c r="S111" i="31" s="1"/>
  <c r="T111" i="31" s="1"/>
  <c r="C161" i="31"/>
  <c r="Q108" i="31"/>
  <c r="Q107" i="31"/>
  <c r="R107" i="31" s="1"/>
  <c r="S107" i="31" s="1"/>
  <c r="T107" i="31" s="1"/>
  <c r="Q106" i="31"/>
  <c r="R106" i="31" s="1"/>
  <c r="S106" i="31" s="1"/>
  <c r="T106" i="31" s="1"/>
  <c r="Q104" i="31"/>
  <c r="R104" i="31" s="1"/>
  <c r="S104" i="31" s="1"/>
  <c r="T104" i="31" s="1"/>
  <c r="Q103" i="31"/>
  <c r="R103" i="31" s="1"/>
  <c r="S103" i="31" s="1"/>
  <c r="T103" i="31" s="1"/>
  <c r="Q102" i="31"/>
  <c r="R102" i="31" s="1"/>
  <c r="S102" i="31" s="1"/>
  <c r="T102" i="31" s="1"/>
  <c r="Q101" i="31"/>
  <c r="R101" i="31" s="1"/>
  <c r="S101" i="31" s="1"/>
  <c r="T101" i="31" s="1"/>
  <c r="Q100" i="31"/>
  <c r="Q98" i="31"/>
  <c r="C160" i="31"/>
  <c r="Q97" i="31"/>
  <c r="Q96" i="31"/>
  <c r="Q95" i="31"/>
  <c r="R95" i="31" s="1"/>
  <c r="S95" i="31" s="1"/>
  <c r="T95" i="31" s="1"/>
  <c r="Q94" i="31"/>
  <c r="R94" i="31" s="1"/>
  <c r="S94" i="31" s="1"/>
  <c r="T94" i="31" s="1"/>
  <c r="Q92" i="31"/>
  <c r="Q90" i="31"/>
  <c r="R90" i="31" s="1"/>
  <c r="S90" i="31" s="1"/>
  <c r="T90" i="31" s="1"/>
  <c r="Q87" i="31"/>
  <c r="R87" i="31" s="1"/>
  <c r="S87" i="31" s="1"/>
  <c r="T87" i="31" s="1"/>
  <c r="C159" i="31"/>
  <c r="Q85" i="31"/>
  <c r="R85" i="31" s="1"/>
  <c r="S85" i="31" s="1"/>
  <c r="T85" i="31" s="1"/>
  <c r="Q84" i="31"/>
  <c r="Q83" i="31"/>
  <c r="R83" i="31" s="1"/>
  <c r="S83" i="31" s="1"/>
  <c r="T83" i="31" s="1"/>
  <c r="Q82" i="31"/>
  <c r="Q81" i="31"/>
  <c r="R81" i="31" s="1"/>
  <c r="S81" i="31" s="1"/>
  <c r="T81" i="31" s="1"/>
  <c r="Q79" i="31"/>
  <c r="R79" i="31" s="1"/>
  <c r="S79" i="31" s="1"/>
  <c r="T79" i="31" s="1"/>
  <c r="Q78" i="31"/>
  <c r="R78" i="31" s="1"/>
  <c r="S78" i="31" s="1"/>
  <c r="T78" i="31" s="1"/>
  <c r="Q76" i="31"/>
  <c r="Q75" i="31"/>
  <c r="R75" i="31" s="1"/>
  <c r="S75" i="31" s="1"/>
  <c r="T75" i="31" s="1"/>
  <c r="Q74" i="31"/>
  <c r="R74" i="31" s="1"/>
  <c r="S74" i="31" s="1"/>
  <c r="T74" i="31" s="1"/>
  <c r="C158" i="31"/>
  <c r="Q73" i="31"/>
  <c r="R73" i="31" s="1"/>
  <c r="S73" i="31" s="1"/>
  <c r="T73" i="31" s="1"/>
  <c r="Q72" i="31"/>
  <c r="R72" i="31" s="1"/>
  <c r="S72" i="31" s="1"/>
  <c r="T72" i="31" s="1"/>
  <c r="Q71" i="31"/>
  <c r="R71" i="31" s="1"/>
  <c r="S71" i="31" s="1"/>
  <c r="T71" i="31" s="1"/>
  <c r="Q70" i="31"/>
  <c r="R70" i="31" s="1"/>
  <c r="S70" i="31" s="1"/>
  <c r="T70" i="31" s="1"/>
  <c r="Q69" i="31"/>
  <c r="R69" i="31" s="1"/>
  <c r="S69" i="31" s="1"/>
  <c r="T69" i="31" s="1"/>
  <c r="Q68" i="31"/>
  <c r="Q66" i="31"/>
  <c r="Q65" i="31"/>
  <c r="Q64" i="31"/>
  <c r="Q63" i="31"/>
  <c r="R63" i="31" s="1"/>
  <c r="S63" i="31" s="1"/>
  <c r="T63" i="31" s="1"/>
  <c r="W36" i="31"/>
  <c r="Q62" i="31"/>
  <c r="Q60" i="31"/>
  <c r="Q58" i="31"/>
  <c r="R58" i="31" s="1"/>
  <c r="S58" i="31" s="1"/>
  <c r="T58" i="31" s="1"/>
  <c r="Q55" i="31"/>
  <c r="R55" i="31" s="1"/>
  <c r="S55" i="31" s="1"/>
  <c r="T55" i="31" s="1"/>
  <c r="Q53" i="31"/>
  <c r="R53" i="31" s="1"/>
  <c r="S53" i="31" s="1"/>
  <c r="T53" i="31" s="1"/>
  <c r="Q52" i="31"/>
  <c r="Q51" i="31"/>
  <c r="R51" i="31" s="1"/>
  <c r="S51" i="31" s="1"/>
  <c r="T51" i="31" s="1"/>
  <c r="Q50" i="31"/>
  <c r="Q49" i="31"/>
  <c r="R49" i="31" s="1"/>
  <c r="S49" i="31" s="1"/>
  <c r="T49" i="31" s="1"/>
  <c r="Q47" i="31"/>
  <c r="R47" i="31" s="1"/>
  <c r="S47" i="31" s="1"/>
  <c r="T47" i="31" s="1"/>
  <c r="Q46" i="31"/>
  <c r="Q43" i="31"/>
  <c r="Q42" i="31"/>
  <c r="R42" i="31" s="1"/>
  <c r="S42" i="31" s="1"/>
  <c r="T42" i="31" s="1"/>
  <c r="Q40" i="31"/>
  <c r="R40" i="31" s="1"/>
  <c r="S40" i="31" s="1"/>
  <c r="T40" i="31" s="1"/>
  <c r="Q39" i="31"/>
  <c r="Q38" i="31"/>
  <c r="D155" i="31"/>
  <c r="Q35" i="31"/>
  <c r="Q34" i="31"/>
  <c r="R34" i="31" s="1"/>
  <c r="S34" i="31" s="1"/>
  <c r="T34" i="31" s="1"/>
  <c r="Q32" i="31"/>
  <c r="Q31" i="31"/>
  <c r="Q30" i="31"/>
  <c r="R30" i="31" s="1"/>
  <c r="S30" i="31" s="1"/>
  <c r="T30" i="31" s="1"/>
  <c r="Q29" i="31"/>
  <c r="Q26" i="31"/>
  <c r="C154" i="31"/>
  <c r="Q25" i="31"/>
  <c r="Q23" i="31"/>
  <c r="R23" i="31" s="1"/>
  <c r="S23" i="31" s="1"/>
  <c r="T23" i="31" s="1"/>
  <c r="Q22" i="31"/>
  <c r="Q21" i="31"/>
  <c r="R21" i="31" s="1"/>
  <c r="S21" i="31" s="1"/>
  <c r="T21" i="31" s="1"/>
  <c r="Q20" i="31"/>
  <c r="R20" i="31" s="1"/>
  <c r="S20" i="31" s="1"/>
  <c r="T20" i="31" s="1"/>
  <c r="Q19" i="31"/>
  <c r="R19" i="31" s="1"/>
  <c r="S19" i="31" s="1"/>
  <c r="T19" i="31" s="1"/>
  <c r="Q18" i="31"/>
  <c r="R18" i="31" s="1"/>
  <c r="S18" i="31" s="1"/>
  <c r="T18" i="31" s="1"/>
  <c r="Q17" i="31"/>
  <c r="R17" i="31" s="1"/>
  <c r="S17" i="31" s="1"/>
  <c r="T17" i="31" s="1"/>
  <c r="Q15" i="31"/>
  <c r="R15" i="31" s="1"/>
  <c r="S15" i="31" s="1"/>
  <c r="T15" i="31" s="1"/>
  <c r="Q14" i="31"/>
  <c r="Q13" i="31"/>
  <c r="R13" i="31" s="1"/>
  <c r="S13" i="31" s="1"/>
  <c r="T13" i="31" s="1"/>
  <c r="Q12" i="31"/>
  <c r="Q11" i="31"/>
  <c r="R11" i="31" s="1"/>
  <c r="S11" i="31" s="1"/>
  <c r="T11" i="31" s="1"/>
  <c r="Q10" i="31"/>
  <c r="R10" i="31" s="1"/>
  <c r="S10" i="31" s="1"/>
  <c r="T10" i="31" s="1"/>
  <c r="Q9" i="31"/>
  <c r="Q8" i="31"/>
  <c r="R8" i="31" s="1"/>
  <c r="S8" i="31" s="1"/>
  <c r="T8" i="31" s="1"/>
  <c r="Q7" i="31"/>
  <c r="R7" i="31" s="1"/>
  <c r="S7" i="31" s="1"/>
  <c r="T7" i="31" s="1"/>
  <c r="Q6" i="31"/>
  <c r="Q5" i="31"/>
  <c r="Q4" i="31"/>
  <c r="R3" i="31"/>
  <c r="S3" i="31" s="1"/>
  <c r="T3" i="31" s="1"/>
  <c r="R5" i="31" l="1"/>
  <c r="S5" i="31" s="1"/>
  <c r="T5" i="31" s="1"/>
  <c r="R6" i="31"/>
  <c r="S6" i="31" s="1"/>
  <c r="T6" i="31" s="1"/>
  <c r="Y31" i="31"/>
  <c r="Q152" i="31"/>
  <c r="R2" i="31"/>
  <c r="S2" i="31" s="1"/>
  <c r="T2" i="31" s="1"/>
  <c r="R9" i="31"/>
  <c r="S9" i="31" s="1"/>
  <c r="T9" i="31" s="1"/>
  <c r="R26" i="31"/>
  <c r="S26" i="31" s="1"/>
  <c r="T26" i="31" s="1"/>
  <c r="R29" i="31"/>
  <c r="S29" i="31" s="1"/>
  <c r="T29" i="31" s="1"/>
  <c r="R14" i="31"/>
  <c r="S14" i="31" s="1"/>
  <c r="T14" i="31" s="1"/>
  <c r="R4" i="31"/>
  <c r="S4" i="31" s="1"/>
  <c r="T4" i="31" s="1"/>
  <c r="R12" i="31"/>
  <c r="S12" i="31" s="1"/>
  <c r="T12" i="31" s="1"/>
  <c r="R25" i="31"/>
  <c r="S25" i="31" s="1"/>
  <c r="T25" i="31" s="1"/>
  <c r="R39" i="31"/>
  <c r="S39" i="31" s="1"/>
  <c r="T39" i="31" s="1"/>
  <c r="C153" i="31"/>
  <c r="Q28" i="31"/>
  <c r="R28" i="31" s="1"/>
  <c r="S28" i="31" s="1"/>
  <c r="T28" i="31" s="1"/>
  <c r="D153" i="31"/>
  <c r="R43" i="31"/>
  <c r="S43" i="31" s="1"/>
  <c r="T43" i="31" s="1"/>
  <c r="R65" i="31"/>
  <c r="S65" i="31" s="1"/>
  <c r="T65" i="31" s="1"/>
  <c r="R97" i="31"/>
  <c r="S97" i="31" s="1"/>
  <c r="T97" i="31" s="1"/>
  <c r="Q16" i="31"/>
  <c r="R16" i="31" s="1"/>
  <c r="S16" i="31" s="1"/>
  <c r="T16" i="31" s="1"/>
  <c r="R32" i="31"/>
  <c r="S32" i="31" s="1"/>
  <c r="T32" i="31" s="1"/>
  <c r="Q33" i="31"/>
  <c r="R33" i="31" s="1"/>
  <c r="S33" i="31" s="1"/>
  <c r="T33" i="31" s="1"/>
  <c r="Q36" i="31"/>
  <c r="R36" i="31" s="1"/>
  <c r="S36" i="31" s="1"/>
  <c r="T36" i="31" s="1"/>
  <c r="Q44" i="31"/>
  <c r="R44" i="31" s="1"/>
  <c r="S44" i="31" s="1"/>
  <c r="T44" i="31" s="1"/>
  <c r="Q45" i="31"/>
  <c r="R45" i="31" s="1"/>
  <c r="S45" i="31" s="1"/>
  <c r="T45" i="31" s="1"/>
  <c r="R46" i="31"/>
  <c r="S46" i="31" s="1"/>
  <c r="T46" i="31" s="1"/>
  <c r="R60" i="31"/>
  <c r="S60" i="31" s="1"/>
  <c r="T60" i="31" s="1"/>
  <c r="Q77" i="31"/>
  <c r="R77" i="31" s="1"/>
  <c r="S77" i="31" s="1"/>
  <c r="T77" i="31" s="1"/>
  <c r="W38" i="31"/>
  <c r="R92" i="31"/>
  <c r="S92" i="31" s="1"/>
  <c r="T92" i="31" s="1"/>
  <c r="Q109" i="31"/>
  <c r="R109" i="31" s="1"/>
  <c r="S109" i="31" s="1"/>
  <c r="T109" i="31" s="1"/>
  <c r="W40" i="31"/>
  <c r="E161" i="31"/>
  <c r="Q122" i="31"/>
  <c r="R62" i="31"/>
  <c r="S62" i="31" s="1"/>
  <c r="T62" i="31" s="1"/>
  <c r="R64" i="31"/>
  <c r="S64" i="31" s="1"/>
  <c r="T64" i="31" s="1"/>
  <c r="R66" i="31"/>
  <c r="S66" i="31" s="1"/>
  <c r="T66" i="31" s="1"/>
  <c r="R96" i="31"/>
  <c r="S96" i="31" s="1"/>
  <c r="T96" i="31" s="1"/>
  <c r="R98" i="31"/>
  <c r="S98" i="31" s="1"/>
  <c r="T98" i="31" s="1"/>
  <c r="R22" i="31"/>
  <c r="S22" i="31" s="1"/>
  <c r="T22" i="31" s="1"/>
  <c r="Q24" i="31"/>
  <c r="R24" i="31" s="1"/>
  <c r="S24" i="31" s="1"/>
  <c r="T24" i="31" s="1"/>
  <c r="R35" i="31"/>
  <c r="S35" i="31" s="1"/>
  <c r="T35" i="31" s="1"/>
  <c r="C155" i="31"/>
  <c r="C156" i="31"/>
  <c r="Q54" i="31"/>
  <c r="R54" i="31" s="1"/>
  <c r="S54" i="31" s="1"/>
  <c r="T54" i="31" s="1"/>
  <c r="Q56" i="31"/>
  <c r="R56" i="31" s="1"/>
  <c r="S56" i="31" s="1"/>
  <c r="T56" i="31" s="1"/>
  <c r="Q57" i="31"/>
  <c r="R57" i="31" s="1"/>
  <c r="S57" i="31" s="1"/>
  <c r="T57" i="31" s="1"/>
  <c r="Q67" i="31"/>
  <c r="R67" i="31" s="1"/>
  <c r="S67" i="31" s="1"/>
  <c r="T67" i="31" s="1"/>
  <c r="Q86" i="31"/>
  <c r="Q88" i="31"/>
  <c r="R88" i="31" s="1"/>
  <c r="S88" i="31" s="1"/>
  <c r="T88" i="31" s="1"/>
  <c r="Q89" i="31"/>
  <c r="R89" i="31" s="1"/>
  <c r="S89" i="31" s="1"/>
  <c r="T89" i="31" s="1"/>
  <c r="Q99" i="31"/>
  <c r="R99" i="31" s="1"/>
  <c r="S99" i="31" s="1"/>
  <c r="T99" i="31" s="1"/>
  <c r="Q120" i="31"/>
  <c r="R120" i="31" s="1"/>
  <c r="S120" i="31" s="1"/>
  <c r="T120" i="31" s="1"/>
  <c r="Q121" i="31"/>
  <c r="R121" i="31" s="1"/>
  <c r="S121" i="31" s="1"/>
  <c r="T121" i="31" s="1"/>
  <c r="Q130" i="31"/>
  <c r="Q139" i="31"/>
  <c r="R52" i="31"/>
  <c r="S52" i="31" s="1"/>
  <c r="T52" i="31" s="1"/>
  <c r="R84" i="31"/>
  <c r="S84" i="31" s="1"/>
  <c r="T84" i="31" s="1"/>
  <c r="R116" i="31"/>
  <c r="S116" i="31" s="1"/>
  <c r="T116" i="31" s="1"/>
  <c r="C152" i="31"/>
  <c r="Q41" i="31"/>
  <c r="R41" i="31" s="1"/>
  <c r="S41" i="31" s="1"/>
  <c r="T41" i="31" s="1"/>
  <c r="Q59" i="31"/>
  <c r="R59" i="31" s="1"/>
  <c r="S59" i="31" s="1"/>
  <c r="T59" i="31" s="1"/>
  <c r="Q80" i="31"/>
  <c r="R80" i="31" s="1"/>
  <c r="S80" i="31" s="1"/>
  <c r="T80" i="31" s="1"/>
  <c r="R82" i="31"/>
  <c r="S82" i="31" s="1"/>
  <c r="T82" i="31" s="1"/>
  <c r="Q27" i="31"/>
  <c r="R27" i="31" s="1"/>
  <c r="S27" i="31" s="1"/>
  <c r="T27" i="31" s="1"/>
  <c r="R38" i="31"/>
  <c r="S38" i="31" s="1"/>
  <c r="T38" i="31" s="1"/>
  <c r="Q48" i="31"/>
  <c r="R48" i="31" s="1"/>
  <c r="S48" i="31" s="1"/>
  <c r="T48" i="31" s="1"/>
  <c r="R50" i="31"/>
  <c r="S50" i="31" s="1"/>
  <c r="T50" i="31" s="1"/>
  <c r="C157" i="31"/>
  <c r="Q91" i="31"/>
  <c r="R91" i="31" s="1"/>
  <c r="S91" i="31" s="1"/>
  <c r="T91" i="31" s="1"/>
  <c r="Q110" i="31"/>
  <c r="Q112" i="31"/>
  <c r="R112" i="31" s="1"/>
  <c r="S112" i="31" s="1"/>
  <c r="T112" i="31" s="1"/>
  <c r="R114" i="31"/>
  <c r="S114" i="31" s="1"/>
  <c r="T114" i="31" s="1"/>
  <c r="R118" i="31"/>
  <c r="S118" i="31" s="1"/>
  <c r="T118" i="31" s="1"/>
  <c r="Q137" i="31"/>
  <c r="D152" i="31"/>
  <c r="R31" i="31"/>
  <c r="S31" i="31" s="1"/>
  <c r="T31" i="31" s="1"/>
  <c r="Q61" i="31"/>
  <c r="R61" i="31" s="1"/>
  <c r="S61" i="31" s="1"/>
  <c r="T61" i="31" s="1"/>
  <c r="E157" i="31"/>
  <c r="R76" i="31"/>
  <c r="S76" i="31" s="1"/>
  <c r="T76" i="31" s="1"/>
  <c r="Q93" i="31"/>
  <c r="R93" i="31" s="1"/>
  <c r="S93" i="31" s="1"/>
  <c r="T93" i="31" s="1"/>
  <c r="W39" i="31"/>
  <c r="R108" i="31"/>
  <c r="S108" i="31" s="1"/>
  <c r="T108" i="31" s="1"/>
  <c r="Q128" i="31"/>
  <c r="Q132" i="31"/>
  <c r="Q145" i="31"/>
  <c r="Q105" i="31"/>
  <c r="R105" i="31" s="1"/>
  <c r="S105" i="31" s="1"/>
  <c r="T105" i="31" s="1"/>
  <c r="R115" i="31"/>
  <c r="S115" i="31" s="1"/>
  <c r="T115" i="31" s="1"/>
  <c r="Q136" i="31"/>
  <c r="Q140" i="31"/>
  <c r="E152" i="31"/>
  <c r="W31" i="31"/>
  <c r="D154" i="31"/>
  <c r="Q37" i="31"/>
  <c r="R37" i="31" s="1"/>
  <c r="S37" i="31" s="1"/>
  <c r="T37" i="31" s="1"/>
  <c r="R68" i="31"/>
  <c r="S68" i="31" s="1"/>
  <c r="T68" i="31" s="1"/>
  <c r="E159" i="31"/>
  <c r="E160" i="31"/>
  <c r="R100" i="31"/>
  <c r="S100" i="31" s="1"/>
  <c r="T100" i="31" s="1"/>
  <c r="D157" i="31"/>
  <c r="D159" i="31"/>
  <c r="D161" i="31"/>
  <c r="D156" i="31"/>
  <c r="D158" i="31"/>
  <c r="D160" i="31"/>
  <c r="R11" i="18"/>
  <c r="S11" i="18" s="1"/>
  <c r="T11" i="18" s="1"/>
  <c r="R36" i="18"/>
  <c r="S36" i="18" s="1"/>
  <c r="T36" i="18" s="1"/>
  <c r="R44" i="18"/>
  <c r="S44" i="18" s="1"/>
  <c r="T44" i="18" s="1"/>
  <c r="R48" i="18"/>
  <c r="S48" i="18" s="1"/>
  <c r="T48" i="18" s="1"/>
  <c r="R69" i="18"/>
  <c r="S69" i="18" s="1"/>
  <c r="T69" i="18" s="1"/>
  <c r="C159" i="18"/>
  <c r="R93" i="18"/>
  <c r="S93" i="18" s="1"/>
  <c r="T93" i="18" s="1"/>
  <c r="V123" i="31"/>
  <c r="W123" i="31" s="1"/>
  <c r="X123" i="31" s="1"/>
  <c r="V124" i="31"/>
  <c r="W124" i="31" s="1"/>
  <c r="X124" i="31" s="1"/>
  <c r="V125" i="31"/>
  <c r="W125" i="31" s="1"/>
  <c r="X125" i="31" s="1"/>
  <c r="V131" i="31"/>
  <c r="W131" i="31" s="1"/>
  <c r="X131" i="31" s="1"/>
  <c r="V137" i="31"/>
  <c r="V138" i="31"/>
  <c r="W138" i="31" s="1"/>
  <c r="X138" i="31" s="1"/>
  <c r="V143" i="31"/>
  <c r="W143" i="31" s="1"/>
  <c r="X143" i="31" s="1"/>
  <c r="V144" i="31"/>
  <c r="W144" i="31" s="1"/>
  <c r="X144" i="31" s="1"/>
  <c r="C157" i="18"/>
  <c r="D159" i="18"/>
  <c r="Q156" i="31" l="1"/>
  <c r="Y39" i="31"/>
  <c r="Z39" i="31" s="1"/>
  <c r="Q158" i="31"/>
  <c r="X39" i="31"/>
  <c r="W137" i="31"/>
  <c r="X137" i="31" s="1"/>
  <c r="Q160" i="31"/>
  <c r="Y47" i="31"/>
  <c r="E158" i="31"/>
  <c r="W35" i="31"/>
  <c r="W32" i="31"/>
  <c r="X32" i="31" s="1"/>
  <c r="E153" i="31"/>
  <c r="Q153" i="31"/>
  <c r="Z31" i="31"/>
  <c r="Q161" i="31"/>
  <c r="R110" i="31"/>
  <c r="S110" i="31" s="1"/>
  <c r="T110" i="31" s="1"/>
  <c r="Y40" i="31"/>
  <c r="Z40" i="31" s="1"/>
  <c r="X40" i="31"/>
  <c r="Y34" i="31"/>
  <c r="Y37" i="31"/>
  <c r="Y33" i="31"/>
  <c r="W37" i="31"/>
  <c r="X37" i="31" s="1"/>
  <c r="Y35" i="31"/>
  <c r="E156" i="31"/>
  <c r="Y36" i="31"/>
  <c r="Z36" i="31" s="1"/>
  <c r="E154" i="31"/>
  <c r="W33" i="31"/>
  <c r="Q154" i="31"/>
  <c r="Y46" i="31"/>
  <c r="Z46" i="31" s="1"/>
  <c r="Q155" i="31"/>
  <c r="Q159" i="31"/>
  <c r="Y38" i="31"/>
  <c r="Z38" i="31" s="1"/>
  <c r="R86" i="31"/>
  <c r="S86" i="31" s="1"/>
  <c r="T86" i="31" s="1"/>
  <c r="E155" i="31"/>
  <c r="W34" i="31"/>
  <c r="Q157" i="31"/>
  <c r="Y32" i="31"/>
  <c r="R115" i="18"/>
  <c r="S115" i="18" s="1"/>
  <c r="T115" i="18" s="1"/>
  <c r="R37" i="18"/>
  <c r="S37" i="18" s="1"/>
  <c r="T37" i="18" s="1"/>
  <c r="R59" i="18"/>
  <c r="S59" i="18" s="1"/>
  <c r="T59" i="18" s="1"/>
  <c r="R85" i="18"/>
  <c r="S85" i="18" s="1"/>
  <c r="T85" i="18" s="1"/>
  <c r="R30" i="18"/>
  <c r="S30" i="18" s="1"/>
  <c r="T30" i="18" s="1"/>
  <c r="D155" i="18"/>
  <c r="R117" i="18"/>
  <c r="S117" i="18" s="1"/>
  <c r="T117" i="18" s="1"/>
  <c r="R101" i="18"/>
  <c r="S101" i="18" s="1"/>
  <c r="T101" i="18" s="1"/>
  <c r="R83" i="18"/>
  <c r="S83" i="18" s="1"/>
  <c r="T83" i="18" s="1"/>
  <c r="R18" i="18"/>
  <c r="S18" i="18" s="1"/>
  <c r="T18" i="18" s="1"/>
  <c r="R121" i="18"/>
  <c r="S121" i="18" s="1"/>
  <c r="T121" i="18" s="1"/>
  <c r="R91" i="18"/>
  <c r="S91" i="18" s="1"/>
  <c r="T91" i="18" s="1"/>
  <c r="D158" i="18"/>
  <c r="D154" i="18"/>
  <c r="R6" i="18"/>
  <c r="S6" i="18" s="1"/>
  <c r="T6" i="18" s="1"/>
  <c r="R4" i="18"/>
  <c r="S4" i="18" s="1"/>
  <c r="T4" i="18" s="1"/>
  <c r="D157" i="18"/>
  <c r="C155" i="18"/>
  <c r="V128" i="31"/>
  <c r="W128" i="31" s="1"/>
  <c r="X128" i="31" s="1"/>
  <c r="D153" i="18"/>
  <c r="V130" i="31"/>
  <c r="W130" i="31" s="1"/>
  <c r="X130" i="31" s="1"/>
  <c r="R105" i="18"/>
  <c r="S105" i="18" s="1"/>
  <c r="T105" i="18" s="1"/>
  <c r="R96" i="18"/>
  <c r="S96" i="18" s="1"/>
  <c r="T96" i="18" s="1"/>
  <c r="R58" i="18"/>
  <c r="S58" i="18" s="1"/>
  <c r="T58" i="18" s="1"/>
  <c r="R35" i="18"/>
  <c r="S35" i="18" s="1"/>
  <c r="T35" i="18" s="1"/>
  <c r="E154" i="18"/>
  <c r="R26" i="18"/>
  <c r="S26" i="18" s="1"/>
  <c r="T26" i="18" s="1"/>
  <c r="R8" i="18"/>
  <c r="S8" i="18" s="1"/>
  <c r="T8" i="18" s="1"/>
  <c r="V145" i="31"/>
  <c r="W145" i="31" s="1"/>
  <c r="X145" i="31" s="1"/>
  <c r="V129" i="31"/>
  <c r="W129" i="31" s="1"/>
  <c r="X129" i="31" s="1"/>
  <c r="D152" i="18"/>
  <c r="R104" i="18"/>
  <c r="S104" i="18" s="1"/>
  <c r="T104" i="18" s="1"/>
  <c r="R88" i="18"/>
  <c r="S88" i="18" s="1"/>
  <c r="T88" i="18" s="1"/>
  <c r="R87" i="18"/>
  <c r="S87" i="18" s="1"/>
  <c r="T87" i="18" s="1"/>
  <c r="R75" i="18"/>
  <c r="S75" i="18" s="1"/>
  <c r="T75" i="18" s="1"/>
  <c r="R43" i="18"/>
  <c r="S43" i="18" s="1"/>
  <c r="T43" i="18" s="1"/>
  <c r="W33" i="18"/>
  <c r="R16" i="18"/>
  <c r="S16" i="18" s="1"/>
  <c r="T16" i="18" s="1"/>
  <c r="W32" i="18"/>
  <c r="D160" i="18"/>
  <c r="V135" i="31"/>
  <c r="W135" i="31" s="1"/>
  <c r="X135" i="31" s="1"/>
  <c r="V133" i="31"/>
  <c r="W133" i="31" s="1"/>
  <c r="X133" i="31" s="1"/>
  <c r="R113" i="18"/>
  <c r="S113" i="18" s="1"/>
  <c r="T113" i="18" s="1"/>
  <c r="R67" i="18"/>
  <c r="S67" i="18" s="1"/>
  <c r="T67" i="18" s="1"/>
  <c r="R55" i="18"/>
  <c r="S55" i="18" s="1"/>
  <c r="T55" i="18" s="1"/>
  <c r="R27" i="18"/>
  <c r="S27" i="18" s="1"/>
  <c r="T27" i="18" s="1"/>
  <c r="C154" i="18"/>
  <c r="R22" i="18"/>
  <c r="S22" i="18" s="1"/>
  <c r="T22" i="18" s="1"/>
  <c r="D161" i="18"/>
  <c r="R102" i="18"/>
  <c r="S102" i="18" s="1"/>
  <c r="T102" i="18" s="1"/>
  <c r="R90" i="18"/>
  <c r="S90" i="18" s="1"/>
  <c r="T90" i="18" s="1"/>
  <c r="R72" i="18"/>
  <c r="S72" i="18" s="1"/>
  <c r="T72" i="18" s="1"/>
  <c r="D156" i="18"/>
  <c r="V136" i="31"/>
  <c r="W136" i="31" s="1"/>
  <c r="X136" i="31" s="1"/>
  <c r="R112" i="18"/>
  <c r="S112" i="18" s="1"/>
  <c r="T112" i="18" s="1"/>
  <c r="R110" i="18"/>
  <c r="S110" i="18" s="1"/>
  <c r="T110" i="18" s="1"/>
  <c r="W38" i="18"/>
  <c r="R77" i="18"/>
  <c r="S77" i="18" s="1"/>
  <c r="T77" i="18" s="1"/>
  <c r="R62" i="18"/>
  <c r="S62" i="18" s="1"/>
  <c r="T62" i="18" s="1"/>
  <c r="R56" i="18"/>
  <c r="S56" i="18" s="1"/>
  <c r="T56" i="18" s="1"/>
  <c r="C156" i="18"/>
  <c r="R51" i="18"/>
  <c r="S51" i="18" s="1"/>
  <c r="T51" i="18" s="1"/>
  <c r="V139" i="31"/>
  <c r="W139" i="31" s="1"/>
  <c r="X139" i="31" s="1"/>
  <c r="R109" i="18"/>
  <c r="S109" i="18" s="1"/>
  <c r="T109" i="18" s="1"/>
  <c r="V140" i="31"/>
  <c r="W140" i="31" s="1"/>
  <c r="X140" i="31" s="1"/>
  <c r="C153" i="18"/>
  <c r="R116" i="18"/>
  <c r="S116" i="18" s="1"/>
  <c r="T116" i="18" s="1"/>
  <c r="C152" i="18"/>
  <c r="R118" i="18"/>
  <c r="S118" i="18" s="1"/>
  <c r="T118" i="18" s="1"/>
  <c r="R106" i="18"/>
  <c r="S106" i="18" s="1"/>
  <c r="T106" i="18" s="1"/>
  <c r="C160" i="18"/>
  <c r="V126" i="31"/>
  <c r="W126" i="31" s="1"/>
  <c r="X126" i="31" s="1"/>
  <c r="R24" i="18"/>
  <c r="S24" i="18" s="1"/>
  <c r="T24" i="18" s="1"/>
  <c r="E152" i="18"/>
  <c r="R19" i="18"/>
  <c r="S19" i="18" s="1"/>
  <c r="T19" i="18" s="1"/>
  <c r="C158" i="18"/>
  <c r="R14" i="18"/>
  <c r="S14" i="18" s="1"/>
  <c r="T14" i="18" s="1"/>
  <c r="E153" i="18"/>
  <c r="R53" i="18"/>
  <c r="S53" i="18" s="1"/>
  <c r="T53" i="18" s="1"/>
  <c r="V132" i="31"/>
  <c r="W132" i="31" s="1"/>
  <c r="X132" i="31" s="1"/>
  <c r="V127" i="31"/>
  <c r="W127" i="31" s="1"/>
  <c r="X127" i="31" s="1"/>
  <c r="R107" i="18"/>
  <c r="S107" i="18" s="1"/>
  <c r="T107" i="18" s="1"/>
  <c r="R3" i="18"/>
  <c r="S3" i="18" s="1"/>
  <c r="T3" i="18" s="1"/>
  <c r="C161" i="18"/>
  <c r="R80" i="18"/>
  <c r="S80" i="18" s="1"/>
  <c r="T80" i="18" s="1"/>
  <c r="R81" i="18"/>
  <c r="S81" i="18" s="1"/>
  <c r="T81" i="18" s="1"/>
  <c r="R78" i="18"/>
  <c r="S78" i="18" s="1"/>
  <c r="T78" i="18" s="1"/>
  <c r="R34" i="18"/>
  <c r="S34" i="18" s="1"/>
  <c r="T34" i="18" s="1"/>
  <c r="R32" i="18"/>
  <c r="S32" i="18" s="1"/>
  <c r="T32" i="18" s="1"/>
  <c r="R7" i="18"/>
  <c r="S7" i="18" s="1"/>
  <c r="T7" i="18" s="1"/>
  <c r="V141" i="31"/>
  <c r="W141" i="31" s="1"/>
  <c r="X141" i="31" s="1"/>
  <c r="V134" i="31"/>
  <c r="W134" i="31" s="1"/>
  <c r="R111" i="18"/>
  <c r="S111" i="18" s="1"/>
  <c r="T111" i="18" s="1"/>
  <c r="E159" i="18"/>
  <c r="R89" i="18"/>
  <c r="S89" i="18" s="1"/>
  <c r="T89" i="18" s="1"/>
  <c r="R57" i="18"/>
  <c r="S57" i="18" s="1"/>
  <c r="T57" i="18" s="1"/>
  <c r="E155" i="18"/>
  <c r="R28" i="18"/>
  <c r="S28" i="18" s="1"/>
  <c r="T28" i="18" s="1"/>
  <c r="R17" i="18"/>
  <c r="S17" i="18" s="1"/>
  <c r="T17" i="18" s="1"/>
  <c r="R13" i="18"/>
  <c r="S13" i="18" s="1"/>
  <c r="T13" i="18" s="1"/>
  <c r="R54" i="18"/>
  <c r="S54" i="18" s="1"/>
  <c r="T54" i="18" s="1"/>
  <c r="R60" i="18"/>
  <c r="S60" i="18" s="1"/>
  <c r="T60" i="18" s="1"/>
  <c r="W35" i="18"/>
  <c r="R49" i="18"/>
  <c r="S49" i="18" s="1"/>
  <c r="T49" i="18" s="1"/>
  <c r="R45" i="18"/>
  <c r="S45" i="18" s="1"/>
  <c r="T45" i="18" s="1"/>
  <c r="R33" i="18"/>
  <c r="S33" i="18" s="1"/>
  <c r="T33" i="18" s="1"/>
  <c r="R31" i="18"/>
  <c r="S31" i="18" s="1"/>
  <c r="T31" i="18" s="1"/>
  <c r="R20" i="18"/>
  <c r="S20" i="18" s="1"/>
  <c r="T20" i="18" s="1"/>
  <c r="R10" i="18"/>
  <c r="S10" i="18" s="1"/>
  <c r="T10" i="18" s="1"/>
  <c r="W40" i="18"/>
  <c r="R95" i="18"/>
  <c r="S95" i="18" s="1"/>
  <c r="T95" i="18" s="1"/>
  <c r="R42" i="18"/>
  <c r="S42" i="18" s="1"/>
  <c r="T42" i="18" s="1"/>
  <c r="R25" i="18"/>
  <c r="S25" i="18" s="1"/>
  <c r="T25" i="18" s="1"/>
  <c r="R103" i="18"/>
  <c r="S103" i="18" s="1"/>
  <c r="T103" i="18" s="1"/>
  <c r="V142" i="31"/>
  <c r="W142" i="31" s="1"/>
  <c r="X142" i="31" s="1"/>
  <c r="R119" i="18"/>
  <c r="S119" i="18" s="1"/>
  <c r="T119" i="18" s="1"/>
  <c r="R97" i="18"/>
  <c r="S97" i="18" s="1"/>
  <c r="T97" i="18" s="1"/>
  <c r="R94" i="18"/>
  <c r="S94" i="18" s="1"/>
  <c r="T94" i="18" s="1"/>
  <c r="R76" i="18"/>
  <c r="S76" i="18" s="1"/>
  <c r="T76" i="18" s="1"/>
  <c r="R73" i="18"/>
  <c r="S73" i="18" s="1"/>
  <c r="T73" i="18" s="1"/>
  <c r="R70" i="18"/>
  <c r="S70" i="18" s="1"/>
  <c r="T70" i="18" s="1"/>
  <c r="R61" i="18"/>
  <c r="S61" i="18" s="1"/>
  <c r="T61" i="18" s="1"/>
  <c r="R52" i="18"/>
  <c r="S52" i="18" s="1"/>
  <c r="T52" i="18" s="1"/>
  <c r="R23" i="18"/>
  <c r="S23" i="18" s="1"/>
  <c r="T23" i="18" s="1"/>
  <c r="R12" i="18"/>
  <c r="S12" i="18" s="1"/>
  <c r="T12" i="18" s="1"/>
  <c r="R9" i="18"/>
  <c r="S9" i="18" s="1"/>
  <c r="T9" i="18" s="1"/>
  <c r="R5" i="18"/>
  <c r="S5" i="18" s="1"/>
  <c r="T5" i="18" s="1"/>
  <c r="R92" i="18"/>
  <c r="S92" i="18" s="1"/>
  <c r="T92" i="18" s="1"/>
  <c r="R71" i="18"/>
  <c r="S71" i="18" s="1"/>
  <c r="T71" i="18" s="1"/>
  <c r="R68" i="18"/>
  <c r="S68" i="18" s="1"/>
  <c r="T68" i="18" s="1"/>
  <c r="R65" i="18"/>
  <c r="S65" i="18" s="1"/>
  <c r="T65" i="18" s="1"/>
  <c r="R46" i="18"/>
  <c r="S46" i="18" s="1"/>
  <c r="T46" i="18" s="1"/>
  <c r="R40" i="18"/>
  <c r="S40" i="18" s="1"/>
  <c r="T40" i="18" s="1"/>
  <c r="R21" i="18"/>
  <c r="S21" i="18" s="1"/>
  <c r="T21" i="18" s="1"/>
  <c r="R100" i="18"/>
  <c r="S100" i="18" s="1"/>
  <c r="T100" i="18" s="1"/>
  <c r="R108" i="18"/>
  <c r="S108" i="18" s="1"/>
  <c r="T108" i="18" s="1"/>
  <c r="R63" i="18"/>
  <c r="S63" i="18" s="1"/>
  <c r="T63" i="18" s="1"/>
  <c r="R41" i="18"/>
  <c r="S41" i="18" s="1"/>
  <c r="T41" i="18" s="1"/>
  <c r="R39" i="18"/>
  <c r="S39" i="18" s="1"/>
  <c r="T39" i="18" s="1"/>
  <c r="R15" i="18"/>
  <c r="S15" i="18" s="1"/>
  <c r="T15" i="18" s="1"/>
  <c r="V122" i="31" l="1"/>
  <c r="W122" i="31" s="1"/>
  <c r="Y122" i="31" s="1"/>
  <c r="I152" i="18"/>
  <c r="X38" i="31"/>
  <c r="X34" i="31"/>
  <c r="Z33" i="31"/>
  <c r="Q163" i="31"/>
  <c r="X33" i="31"/>
  <c r="Z37" i="31"/>
  <c r="E163" i="31"/>
  <c r="Y134" i="31"/>
  <c r="X134" i="31"/>
  <c r="Z47" i="31"/>
  <c r="Y41" i="31"/>
  <c r="Z34" i="31"/>
  <c r="X35" i="31"/>
  <c r="X36" i="31"/>
  <c r="Z32" i="31"/>
  <c r="Z43" i="31" s="1"/>
  <c r="Z35" i="31"/>
  <c r="W41" i="31"/>
  <c r="R29" i="18"/>
  <c r="S29" i="18" s="1"/>
  <c r="T29" i="18" s="1"/>
  <c r="R82" i="18"/>
  <c r="S82" i="18" s="1"/>
  <c r="T82" i="18" s="1"/>
  <c r="E157" i="18"/>
  <c r="X32" i="18"/>
  <c r="R66" i="18"/>
  <c r="S66" i="18" s="1"/>
  <c r="T66" i="18" s="1"/>
  <c r="Z46" i="18"/>
  <c r="R84" i="18"/>
  <c r="S84" i="18" s="1"/>
  <c r="T84" i="18" s="1"/>
  <c r="R79" i="18"/>
  <c r="S79" i="18" s="1"/>
  <c r="T79" i="18" s="1"/>
  <c r="R120" i="18"/>
  <c r="S120" i="18" s="1"/>
  <c r="T120" i="18" s="1"/>
  <c r="Y39" i="18"/>
  <c r="Y33" i="18"/>
  <c r="R64" i="18"/>
  <c r="S64" i="18" s="1"/>
  <c r="T64" i="18" s="1"/>
  <c r="W37" i="18"/>
  <c r="E158" i="18"/>
  <c r="Y36" i="18"/>
  <c r="I158" i="18"/>
  <c r="R50" i="18"/>
  <c r="S50" i="18" s="1"/>
  <c r="T50" i="18" s="1"/>
  <c r="Y35" i="18"/>
  <c r="I156" i="18"/>
  <c r="W36" i="18"/>
  <c r="X36" i="18" s="1"/>
  <c r="R86" i="18"/>
  <c r="S86" i="18" s="1"/>
  <c r="T86" i="18" s="1"/>
  <c r="I159" i="18"/>
  <c r="Y38" i="18"/>
  <c r="E156" i="18"/>
  <c r="E161" i="18"/>
  <c r="I157" i="18"/>
  <c r="R114" i="18"/>
  <c r="S114" i="18" s="1"/>
  <c r="T114" i="18" s="1"/>
  <c r="R47" i="18"/>
  <c r="S47" i="18" s="1"/>
  <c r="T47" i="18" s="1"/>
  <c r="R2" i="18"/>
  <c r="S2" i="18" s="1"/>
  <c r="T2" i="18" s="1"/>
  <c r="Y31" i="18"/>
  <c r="E160" i="18"/>
  <c r="W39" i="18"/>
  <c r="X39" i="18" s="1"/>
  <c r="R38" i="18"/>
  <c r="S38" i="18" s="1"/>
  <c r="T38" i="18" s="1"/>
  <c r="Y34" i="18"/>
  <c r="I155" i="18"/>
  <c r="W34" i="18"/>
  <c r="X34" i="18" s="1"/>
  <c r="I153" i="18"/>
  <c r="Y37" i="18"/>
  <c r="Z37" i="18" s="1"/>
  <c r="Y32" i="18"/>
  <c r="I161" i="18"/>
  <c r="R74" i="18"/>
  <c r="S74" i="18" s="1"/>
  <c r="T74" i="18" s="1"/>
  <c r="R99" i="18"/>
  <c r="S99" i="18" s="1"/>
  <c r="T99" i="18" s="1"/>
  <c r="I160" i="18"/>
  <c r="R98" i="18"/>
  <c r="S98" i="18" s="1"/>
  <c r="T98" i="18" s="1"/>
  <c r="X33" i="18"/>
  <c r="Y40" i="18"/>
  <c r="I154" i="18"/>
  <c r="X122" i="31" l="1"/>
  <c r="R163" i="31"/>
  <c r="Z47" i="18"/>
  <c r="Z31" i="18"/>
  <c r="Z42" i="31"/>
  <c r="AA38" i="18"/>
  <c r="Z38" i="18"/>
  <c r="AA32" i="18"/>
  <c r="Z32" i="18"/>
  <c r="X35" i="18"/>
  <c r="AA33" i="18"/>
  <c r="Z33" i="18"/>
  <c r="AA36" i="18"/>
  <c r="Z36" i="18"/>
  <c r="Z34" i="18"/>
  <c r="AA40" i="18"/>
  <c r="Z40" i="18"/>
  <c r="AA35" i="18"/>
  <c r="Z35" i="18"/>
  <c r="Z39" i="18"/>
  <c r="X37" i="18"/>
  <c r="E164" i="18"/>
  <c r="AA34" i="18"/>
  <c r="AA39" i="18"/>
  <c r="AA31" i="18"/>
  <c r="Y41" i="18"/>
  <c r="X38" i="18"/>
  <c r="AA37" i="18"/>
  <c r="I164" i="18"/>
  <c r="X40" i="18"/>
  <c r="W41" i="18"/>
  <c r="J164" i="18" l="1"/>
  <c r="Z42" i="18"/>
  <c r="Z43" i="18"/>
  <c r="N68" i="29" l="1"/>
  <c r="N52" i="29"/>
  <c r="N35" i="29"/>
  <c r="S67" i="29"/>
  <c r="T67" i="29" s="1"/>
  <c r="S66" i="29"/>
  <c r="T66" i="29" s="1"/>
  <c r="S65" i="29"/>
  <c r="T65" i="29" s="1"/>
  <c r="S64" i="29"/>
  <c r="T64" i="29" s="1"/>
  <c r="S63" i="29"/>
  <c r="T63" i="29" s="1"/>
  <c r="S62" i="29"/>
  <c r="T62" i="29" s="1"/>
  <c r="S61" i="29"/>
  <c r="T61" i="29" s="1"/>
  <c r="S60" i="29"/>
  <c r="T60" i="29" s="1"/>
  <c r="S59" i="29"/>
  <c r="T59" i="29" s="1"/>
  <c r="S58" i="29"/>
  <c r="T58" i="29" s="1"/>
  <c r="S57" i="29"/>
  <c r="T57" i="29" s="1"/>
  <c r="S56" i="29"/>
  <c r="T56" i="29" s="1"/>
  <c r="S51" i="29"/>
  <c r="T51" i="29" s="1"/>
  <c r="S50" i="29"/>
  <c r="T50" i="29" s="1"/>
  <c r="S49" i="29"/>
  <c r="T49" i="29" s="1"/>
  <c r="S48" i="29"/>
  <c r="T48" i="29" s="1"/>
  <c r="S47" i="29"/>
  <c r="T47" i="29" s="1"/>
  <c r="S46" i="29"/>
  <c r="T46" i="29" s="1"/>
  <c r="S45" i="29"/>
  <c r="T45" i="29" s="1"/>
  <c r="S44" i="29"/>
  <c r="T44" i="29" s="1"/>
  <c r="S43" i="29"/>
  <c r="T43" i="29" s="1"/>
  <c r="S42" i="29"/>
  <c r="T42" i="29" s="1"/>
  <c r="S41" i="29"/>
  <c r="T41" i="29" s="1"/>
  <c r="S40" i="29"/>
  <c r="T40" i="29" s="1"/>
  <c r="C69" i="29"/>
  <c r="C52" i="29"/>
  <c r="C35" i="29"/>
  <c r="S23" i="29"/>
  <c r="T23" i="29" s="1"/>
  <c r="S34" i="29"/>
  <c r="T34" i="29" s="1"/>
  <c r="S33" i="29"/>
  <c r="T33" i="29" s="1"/>
  <c r="S32" i="29"/>
  <c r="T32" i="29" s="1"/>
  <c r="S31" i="29"/>
  <c r="T31" i="29" s="1"/>
  <c r="S30" i="29"/>
  <c r="T30" i="29" s="1"/>
  <c r="S29" i="29"/>
  <c r="T29" i="29" s="1"/>
  <c r="S28" i="29"/>
  <c r="T28" i="29" s="1"/>
  <c r="S27" i="29"/>
  <c r="T27" i="29" s="1"/>
  <c r="S26" i="29"/>
  <c r="T26" i="29" s="1"/>
  <c r="S25" i="29"/>
  <c r="T25" i="29" s="1"/>
  <c r="S24" i="29"/>
  <c r="T24" i="29" s="1"/>
  <c r="C5" i="29"/>
  <c r="N6" i="29"/>
  <c r="N7" i="29"/>
  <c r="N8" i="29"/>
  <c r="N9" i="29"/>
  <c r="N10" i="29"/>
  <c r="N11" i="29"/>
  <c r="N12" i="29"/>
  <c r="N13" i="29"/>
  <c r="N14" i="29"/>
  <c r="N15" i="29"/>
  <c r="N16" i="29"/>
  <c r="N5" i="29"/>
  <c r="M5" i="29"/>
  <c r="M16" i="29"/>
  <c r="M15" i="29"/>
  <c r="M14" i="29"/>
  <c r="M13" i="29"/>
  <c r="M12" i="29"/>
  <c r="M11" i="29"/>
  <c r="M10" i="29"/>
  <c r="M9" i="29"/>
  <c r="M8" i="29"/>
  <c r="M7" i="29"/>
  <c r="M6" i="29"/>
  <c r="S5" i="29" l="1"/>
  <c r="T5" i="29" s="1"/>
  <c r="S35" i="29"/>
  <c r="T35" i="29" s="1"/>
  <c r="S52" i="29"/>
  <c r="T52" i="29" s="1"/>
  <c r="S68" i="29"/>
  <c r="T68" i="29" s="1"/>
  <c r="M17" i="29"/>
  <c r="N17" i="29"/>
  <c r="C6" i="29"/>
  <c r="S6" i="29" s="1"/>
  <c r="T6" i="29" s="1"/>
  <c r="C7" i="29"/>
  <c r="S7" i="29" s="1"/>
  <c r="T7" i="29" s="1"/>
  <c r="C8" i="29"/>
  <c r="S8" i="29" s="1"/>
  <c r="T8" i="29" s="1"/>
  <c r="C9" i="29"/>
  <c r="S9" i="29" s="1"/>
  <c r="T9" i="29" s="1"/>
  <c r="C10" i="29"/>
  <c r="S10" i="29" s="1"/>
  <c r="T10" i="29" s="1"/>
  <c r="C11" i="29"/>
  <c r="S11" i="29" s="1"/>
  <c r="T11" i="29" s="1"/>
  <c r="C12" i="29"/>
  <c r="S12" i="29" s="1"/>
  <c r="T12" i="29" s="1"/>
  <c r="C13" i="29"/>
  <c r="C14" i="29"/>
  <c r="S14" i="29" s="1"/>
  <c r="T14" i="29" s="1"/>
  <c r="C15" i="29"/>
  <c r="S15" i="29" s="1"/>
  <c r="T15" i="29" s="1"/>
  <c r="C16" i="29"/>
  <c r="S16" i="29" s="1"/>
  <c r="T16" i="29" s="1"/>
  <c r="M68" i="29"/>
  <c r="M52" i="29"/>
  <c r="C17" i="29" l="1"/>
  <c r="S13" i="29"/>
  <c r="T13" i="29" s="1"/>
  <c r="B24" i="29"/>
  <c r="F108" i="29" s="1"/>
  <c r="B25" i="29"/>
  <c r="F109" i="29" s="1"/>
  <c r="B26" i="29"/>
  <c r="F110" i="29" s="1"/>
  <c r="B27" i="29"/>
  <c r="F111" i="29" s="1"/>
  <c r="B28" i="29"/>
  <c r="F112" i="29" s="1"/>
  <c r="B29" i="29"/>
  <c r="F113" i="29" s="1"/>
  <c r="B30" i="29"/>
  <c r="F114" i="29" s="1"/>
  <c r="B31" i="29"/>
  <c r="F115" i="29" s="1"/>
  <c r="B32" i="29"/>
  <c r="F116" i="29" s="1"/>
  <c r="B33" i="29"/>
  <c r="F117" i="29" s="1"/>
  <c r="B34" i="29"/>
  <c r="F118" i="29" s="1"/>
  <c r="B23" i="29"/>
  <c r="F107" i="29" s="1"/>
  <c r="B68" i="29"/>
  <c r="B67" i="29"/>
  <c r="B66" i="29"/>
  <c r="B65" i="29"/>
  <c r="B64" i="29"/>
  <c r="B63" i="29"/>
  <c r="B62" i="29"/>
  <c r="B61" i="29"/>
  <c r="B60" i="29"/>
  <c r="B59" i="29"/>
  <c r="B58" i="29"/>
  <c r="B57" i="29"/>
  <c r="B40" i="29"/>
  <c r="B41" i="29"/>
  <c r="B42" i="29"/>
  <c r="B43" i="29"/>
  <c r="B44" i="29"/>
  <c r="B45" i="29"/>
  <c r="B46" i="29"/>
  <c r="B47" i="29"/>
  <c r="B48" i="29"/>
  <c r="B49" i="29"/>
  <c r="B50" i="29"/>
  <c r="B51" i="29"/>
  <c r="M35" i="29"/>
  <c r="F119" i="29" l="1"/>
  <c r="P43" i="29"/>
  <c r="Q43" i="29" s="1"/>
  <c r="D110" i="29"/>
  <c r="P51" i="29"/>
  <c r="Q51" i="29" s="1"/>
  <c r="D118" i="29"/>
  <c r="P60" i="29"/>
  <c r="Q60" i="29" s="1"/>
  <c r="B111" i="29"/>
  <c r="P49" i="29"/>
  <c r="Q49" i="29" s="1"/>
  <c r="D116" i="29"/>
  <c r="P41" i="29"/>
  <c r="Q41" i="29" s="1"/>
  <c r="D108" i="29"/>
  <c r="P62" i="29"/>
  <c r="Q62" i="29" s="1"/>
  <c r="B113" i="29"/>
  <c r="P48" i="29"/>
  <c r="Q48" i="29" s="1"/>
  <c r="D115" i="29"/>
  <c r="P40" i="29"/>
  <c r="Q40" i="29" s="1"/>
  <c r="D107" i="29"/>
  <c r="P63" i="29"/>
  <c r="Q63" i="29" s="1"/>
  <c r="B114" i="29"/>
  <c r="P42" i="29"/>
  <c r="Q42" i="29" s="1"/>
  <c r="D109" i="29"/>
  <c r="P64" i="29"/>
  <c r="Q64" i="29" s="1"/>
  <c r="B115" i="29"/>
  <c r="P46" i="29"/>
  <c r="Q46" i="29" s="1"/>
  <c r="D113" i="29"/>
  <c r="P57" i="29"/>
  <c r="Q57" i="29" s="1"/>
  <c r="B108" i="29"/>
  <c r="P65" i="29"/>
  <c r="Q65" i="29" s="1"/>
  <c r="B116" i="29"/>
  <c r="S17" i="29"/>
  <c r="T17" i="29" s="1"/>
  <c r="H15" i="23"/>
  <c r="H14" i="23"/>
  <c r="P50" i="29"/>
  <c r="Q50" i="29" s="1"/>
  <c r="D117" i="29"/>
  <c r="P61" i="29"/>
  <c r="Q61" i="29" s="1"/>
  <c r="B112" i="29"/>
  <c r="H112" i="29" s="1"/>
  <c r="P47" i="29"/>
  <c r="Q47" i="29" s="1"/>
  <c r="D114" i="29"/>
  <c r="P56" i="29"/>
  <c r="Q56" i="29" s="1"/>
  <c r="B107" i="29"/>
  <c r="P45" i="29"/>
  <c r="Q45" i="29" s="1"/>
  <c r="D112" i="29"/>
  <c r="P58" i="29"/>
  <c r="Q58" i="29" s="1"/>
  <c r="B109" i="29"/>
  <c r="P66" i="29"/>
  <c r="Q66" i="29" s="1"/>
  <c r="B117" i="29"/>
  <c r="P44" i="29"/>
  <c r="Q44" i="29" s="1"/>
  <c r="D111" i="29"/>
  <c r="P59" i="29"/>
  <c r="Q59" i="29" s="1"/>
  <c r="B110" i="29"/>
  <c r="P67" i="29"/>
  <c r="Q67" i="29" s="1"/>
  <c r="B118" i="29"/>
  <c r="P25" i="29"/>
  <c r="Q25" i="29" s="1"/>
  <c r="B7" i="29"/>
  <c r="P7" i="29" s="1"/>
  <c r="Q7" i="29" s="1"/>
  <c r="B13" i="29"/>
  <c r="P13" i="29" s="1"/>
  <c r="Q13" i="29" s="1"/>
  <c r="P31" i="29"/>
  <c r="Q31" i="29" s="1"/>
  <c r="B12" i="29"/>
  <c r="P12" i="29" s="1"/>
  <c r="Q12" i="29" s="1"/>
  <c r="P30" i="29"/>
  <c r="Q30" i="29" s="1"/>
  <c r="P33" i="29"/>
  <c r="Q33" i="29" s="1"/>
  <c r="B15" i="29"/>
  <c r="P15" i="29" s="1"/>
  <c r="Q15" i="29" s="1"/>
  <c r="P24" i="29"/>
  <c r="Q24" i="29" s="1"/>
  <c r="B6" i="29"/>
  <c r="P6" i="29" s="1"/>
  <c r="Q6" i="29" s="1"/>
  <c r="B11" i="29"/>
  <c r="P11" i="29" s="1"/>
  <c r="Q11" i="29" s="1"/>
  <c r="P29" i="29"/>
  <c r="Q29" i="29" s="1"/>
  <c r="B10" i="29"/>
  <c r="P10" i="29" s="1"/>
  <c r="Q10" i="29" s="1"/>
  <c r="P28" i="29"/>
  <c r="Q28" i="29" s="1"/>
  <c r="B35" i="29"/>
  <c r="P35" i="29" s="1"/>
  <c r="Q35" i="29" s="1"/>
  <c r="P23" i="29"/>
  <c r="Q23" i="29" s="1"/>
  <c r="B5" i="29"/>
  <c r="P5" i="29" s="1"/>
  <c r="Q5" i="29" s="1"/>
  <c r="P27" i="29"/>
  <c r="Q27" i="29" s="1"/>
  <c r="B9" i="29"/>
  <c r="P9" i="29" s="1"/>
  <c r="Q9" i="29" s="1"/>
  <c r="P32" i="29"/>
  <c r="Q32" i="29" s="1"/>
  <c r="B14" i="29"/>
  <c r="P14" i="29" s="1"/>
  <c r="Q14" i="29" s="1"/>
  <c r="P34" i="29"/>
  <c r="Q34" i="29" s="1"/>
  <c r="B16" i="29"/>
  <c r="P16" i="29" s="1"/>
  <c r="Q16" i="29" s="1"/>
  <c r="P26" i="29"/>
  <c r="Q26" i="29" s="1"/>
  <c r="B8" i="29"/>
  <c r="P8" i="29" s="1"/>
  <c r="Q8" i="29" s="1"/>
  <c r="B69" i="29"/>
  <c r="P68" i="29" s="1"/>
  <c r="Q68" i="29" s="1"/>
  <c r="B52" i="29"/>
  <c r="P52" i="29" s="1"/>
  <c r="Q52" i="29" s="1"/>
  <c r="H117" i="29" l="1"/>
  <c r="H108" i="29"/>
  <c r="H115" i="29"/>
  <c r="H109" i="29"/>
  <c r="H118" i="29"/>
  <c r="H110" i="29"/>
  <c r="D119" i="29"/>
  <c r="H107" i="29"/>
  <c r="B119" i="29"/>
  <c r="H111" i="29"/>
  <c r="H116" i="29"/>
  <c r="H113" i="29"/>
  <c r="H114" i="29"/>
  <c r="B17" i="29"/>
  <c r="P17" i="29" l="1"/>
  <c r="Q17" i="29" s="1"/>
  <c r="Q14" i="21"/>
  <c r="Q13" i="21"/>
  <c r="Q29" i="21" s="1"/>
  <c r="H119" i="29"/>
  <c r="R133" i="14" l="1"/>
  <c r="R132" i="14"/>
  <c r="R131" i="14"/>
  <c r="R143" i="14" s="1"/>
  <c r="R130" i="14"/>
  <c r="R142" i="14" s="1"/>
  <c r="R129" i="14"/>
  <c r="R141" i="14" s="1"/>
  <c r="R128" i="14"/>
  <c r="R140" i="14" s="1"/>
  <c r="R127" i="14"/>
  <c r="R139" i="14" s="1"/>
  <c r="R126" i="14"/>
  <c r="R138" i="14" s="1"/>
  <c r="R125" i="14"/>
  <c r="R137" i="14" s="1"/>
  <c r="R124" i="14"/>
  <c r="R136" i="14" s="1"/>
  <c r="R123" i="14"/>
  <c r="R135" i="14" s="1"/>
  <c r="R122" i="14"/>
  <c r="R134" i="14" s="1"/>
  <c r="C145" i="1"/>
  <c r="C128" i="1"/>
  <c r="C129" i="1"/>
  <c r="C141" i="1" s="1"/>
  <c r="C130" i="1"/>
  <c r="C142" i="1" s="1"/>
  <c r="C131" i="1"/>
  <c r="C143" i="1" s="1"/>
  <c r="C132" i="1"/>
  <c r="C133" i="1"/>
  <c r="C134" i="1"/>
  <c r="C146" i="1" s="1"/>
  <c r="C135" i="1"/>
  <c r="C147" i="1" s="1"/>
  <c r="C136" i="1"/>
  <c r="C148" i="1" s="1"/>
  <c r="C137" i="1"/>
  <c r="C149" i="1" l="1"/>
  <c r="C144" i="1"/>
  <c r="R144" i="14"/>
  <c r="R145" i="14"/>
  <c r="C128" i="12" l="1"/>
  <c r="C129" i="12"/>
  <c r="C141" i="12" s="1"/>
  <c r="C130" i="12"/>
  <c r="C131" i="12"/>
  <c r="C143" i="12" s="1"/>
  <c r="C132" i="12"/>
  <c r="C144" i="12" s="1"/>
  <c r="C133" i="12"/>
  <c r="C145" i="12" s="1"/>
  <c r="C134" i="12"/>
  <c r="C146" i="12" s="1"/>
  <c r="C137" i="12"/>
  <c r="C142" i="12" l="1"/>
  <c r="H121" i="12"/>
  <c r="M3" i="12"/>
  <c r="H4" i="12"/>
  <c r="H5" i="12"/>
  <c r="H6" i="12"/>
  <c r="H7" i="12"/>
  <c r="H8" i="12"/>
  <c r="H9" i="12"/>
  <c r="H10" i="12"/>
  <c r="H11" i="12"/>
  <c r="H12" i="12"/>
  <c r="H13" i="12"/>
  <c r="H14" i="12"/>
  <c r="H15" i="12"/>
  <c r="H16" i="12"/>
  <c r="H17" i="12"/>
  <c r="H18" i="12"/>
  <c r="H19" i="12"/>
  <c r="H20" i="12"/>
  <c r="H21" i="12"/>
  <c r="H22" i="12"/>
  <c r="H23" i="12"/>
  <c r="H24" i="12"/>
  <c r="H25" i="12"/>
  <c r="H26" i="12"/>
  <c r="H27" i="12"/>
  <c r="H28" i="12"/>
  <c r="H29" i="12"/>
  <c r="H30" i="12"/>
  <c r="H31" i="12"/>
  <c r="H32" i="12"/>
  <c r="H33" i="12"/>
  <c r="H34" i="12"/>
  <c r="H35" i="12"/>
  <c r="H36" i="12"/>
  <c r="H37" i="12"/>
  <c r="H38" i="12"/>
  <c r="H39" i="12"/>
  <c r="H40" i="12"/>
  <c r="H41" i="12"/>
  <c r="H42" i="12"/>
  <c r="H43" i="12"/>
  <c r="H44" i="12"/>
  <c r="H45" i="12"/>
  <c r="H46" i="12"/>
  <c r="H47" i="12"/>
  <c r="H48" i="12"/>
  <c r="H49" i="12"/>
  <c r="H50" i="12"/>
  <c r="H51" i="12"/>
  <c r="H52" i="12"/>
  <c r="H53" i="12"/>
  <c r="H54" i="12"/>
  <c r="H55" i="12"/>
  <c r="H56" i="12"/>
  <c r="H57" i="12"/>
  <c r="H58" i="12"/>
  <c r="H59" i="12"/>
  <c r="H60" i="12"/>
  <c r="H61" i="12"/>
  <c r="H62" i="12"/>
  <c r="H63" i="12"/>
  <c r="H64" i="12"/>
  <c r="H65" i="12"/>
  <c r="H66" i="12"/>
  <c r="H67" i="12"/>
  <c r="H68" i="12"/>
  <c r="H69" i="12"/>
  <c r="H70" i="12"/>
  <c r="H71" i="12"/>
  <c r="H72" i="12"/>
  <c r="H73" i="12"/>
  <c r="H74" i="12"/>
  <c r="H75" i="12"/>
  <c r="H76" i="12"/>
  <c r="H77" i="12"/>
  <c r="H78" i="12"/>
  <c r="H79" i="12"/>
  <c r="H80" i="12"/>
  <c r="H81" i="12"/>
  <c r="H82" i="12"/>
  <c r="H83" i="12"/>
  <c r="H84" i="12"/>
  <c r="H85" i="12"/>
  <c r="H86" i="12"/>
  <c r="H87" i="12"/>
  <c r="H88" i="12"/>
  <c r="H89" i="12"/>
  <c r="H90" i="12"/>
  <c r="H91" i="12"/>
  <c r="H92" i="12"/>
  <c r="H93" i="12"/>
  <c r="H94" i="12"/>
  <c r="H95" i="12"/>
  <c r="H96" i="12"/>
  <c r="H97" i="12"/>
  <c r="H99" i="12"/>
  <c r="H100" i="12"/>
  <c r="H101" i="12"/>
  <c r="H102" i="12"/>
  <c r="H103" i="12"/>
  <c r="H104" i="12"/>
  <c r="H108" i="12"/>
  <c r="H109" i="12"/>
  <c r="H110" i="12"/>
  <c r="H111" i="12"/>
  <c r="H112" i="12"/>
  <c r="H113" i="12"/>
  <c r="H114" i="12"/>
  <c r="H115" i="12"/>
  <c r="H116" i="12"/>
  <c r="H117" i="12"/>
  <c r="H118" i="12"/>
  <c r="H119" i="12"/>
  <c r="H120" i="12"/>
  <c r="H122" i="12"/>
  <c r="H3" i="12"/>
  <c r="K4" i="1"/>
  <c r="K5" i="1"/>
  <c r="K6" i="1"/>
  <c r="K7" i="1"/>
  <c r="K8" i="1"/>
  <c r="K9" i="1"/>
  <c r="K10" i="1"/>
  <c r="K11" i="1"/>
  <c r="K12" i="1"/>
  <c r="K13" i="1"/>
  <c r="K14" i="1"/>
  <c r="K15" i="1"/>
  <c r="K16" i="1"/>
  <c r="K17" i="1"/>
  <c r="K18" i="1"/>
  <c r="K19" i="1"/>
  <c r="K20" i="1"/>
  <c r="K21" i="1"/>
  <c r="K22" i="1"/>
  <c r="K23" i="1"/>
  <c r="K24" i="1"/>
  <c r="K25" i="1"/>
  <c r="K26" i="1"/>
  <c r="K27" i="1"/>
  <c r="K28" i="1"/>
  <c r="K29" i="1"/>
  <c r="K30" i="1"/>
  <c r="K31" i="1"/>
  <c r="K32" i="1"/>
  <c r="K33" i="1"/>
  <c r="K34" i="1"/>
  <c r="K35" i="1"/>
  <c r="K36" i="1"/>
  <c r="K37" i="1"/>
  <c r="K38" i="1"/>
  <c r="K39" i="1"/>
  <c r="K40" i="1"/>
  <c r="K41" i="1"/>
  <c r="K42" i="1"/>
  <c r="K43" i="1"/>
  <c r="K44" i="1"/>
  <c r="K45" i="1"/>
  <c r="K46" i="1"/>
  <c r="K47" i="1"/>
  <c r="K48" i="1"/>
  <c r="K49" i="1"/>
  <c r="K50" i="1"/>
  <c r="K51" i="1"/>
  <c r="K52" i="1"/>
  <c r="K53" i="1"/>
  <c r="K54" i="1"/>
  <c r="K55" i="1"/>
  <c r="K56" i="1"/>
  <c r="K57" i="1"/>
  <c r="K58" i="1"/>
  <c r="K59" i="1"/>
  <c r="K60" i="1"/>
  <c r="K61" i="1"/>
  <c r="K62" i="1"/>
  <c r="K63" i="1"/>
  <c r="K64" i="1"/>
  <c r="K65" i="1"/>
  <c r="K66" i="1"/>
  <c r="K67" i="1"/>
  <c r="K68" i="1"/>
  <c r="K69" i="1"/>
  <c r="K70" i="1"/>
  <c r="K71" i="1"/>
  <c r="K72" i="1"/>
  <c r="K73" i="1"/>
  <c r="K74" i="1"/>
  <c r="K75" i="1"/>
  <c r="K76" i="1"/>
  <c r="K77" i="1"/>
  <c r="K78" i="1"/>
  <c r="K79" i="1"/>
  <c r="K80" i="1"/>
  <c r="K81" i="1"/>
  <c r="K82" i="1"/>
  <c r="K83" i="1"/>
  <c r="K84" i="1"/>
  <c r="K85" i="1"/>
  <c r="K86" i="1"/>
  <c r="K87" i="1"/>
  <c r="K88" i="1"/>
  <c r="K89" i="1"/>
  <c r="K90" i="1"/>
  <c r="K91" i="1"/>
  <c r="K92" i="1"/>
  <c r="K93" i="1"/>
  <c r="K94" i="1"/>
  <c r="K95" i="1"/>
  <c r="K96" i="1"/>
  <c r="K97" i="1"/>
  <c r="K98" i="1"/>
  <c r="K99" i="1"/>
  <c r="K100" i="1"/>
  <c r="K101" i="1"/>
  <c r="K102" i="1"/>
  <c r="K103" i="1"/>
  <c r="K104" i="1"/>
  <c r="K105" i="1"/>
  <c r="K106" i="1"/>
  <c r="K107" i="1"/>
  <c r="K108" i="1"/>
  <c r="K109" i="1"/>
  <c r="K110" i="1"/>
  <c r="K111" i="1"/>
  <c r="K112" i="1"/>
  <c r="K113" i="1"/>
  <c r="K114" i="1"/>
  <c r="K115" i="1"/>
  <c r="K116" i="1"/>
  <c r="K117" i="1"/>
  <c r="K118" i="1"/>
  <c r="K119" i="1"/>
  <c r="K120" i="1"/>
  <c r="K121" i="1"/>
  <c r="K122" i="1"/>
  <c r="K3" i="1"/>
  <c r="K4" i="13"/>
  <c r="K5" i="13"/>
  <c r="K6" i="13"/>
  <c r="K7" i="13"/>
  <c r="K8" i="13"/>
  <c r="K9" i="13"/>
  <c r="K10" i="13"/>
  <c r="K11" i="13"/>
  <c r="K12" i="13"/>
  <c r="K13" i="13"/>
  <c r="K14" i="13"/>
  <c r="K15" i="13"/>
  <c r="K16" i="13"/>
  <c r="K17" i="13"/>
  <c r="K18" i="13"/>
  <c r="K19" i="13"/>
  <c r="K20" i="13"/>
  <c r="K21" i="13"/>
  <c r="K22" i="13"/>
  <c r="K23" i="13"/>
  <c r="K24" i="13"/>
  <c r="K25" i="13"/>
  <c r="K26" i="13"/>
  <c r="K27" i="13"/>
  <c r="K28" i="13"/>
  <c r="K29" i="13"/>
  <c r="K30" i="13"/>
  <c r="K31" i="13"/>
  <c r="K32" i="13"/>
  <c r="K33" i="13"/>
  <c r="K34" i="13"/>
  <c r="K35" i="13"/>
  <c r="K36" i="13"/>
  <c r="K37" i="13"/>
  <c r="K38" i="13"/>
  <c r="K39" i="13"/>
  <c r="K40" i="13"/>
  <c r="K41" i="13"/>
  <c r="K42" i="13"/>
  <c r="K43" i="13"/>
  <c r="K44" i="13"/>
  <c r="K45" i="13"/>
  <c r="K46" i="13"/>
  <c r="K47" i="13"/>
  <c r="K48" i="13"/>
  <c r="K49" i="13"/>
  <c r="K50" i="13"/>
  <c r="K51" i="13"/>
  <c r="K52" i="13"/>
  <c r="K53" i="13"/>
  <c r="K54" i="13"/>
  <c r="K55" i="13"/>
  <c r="K56" i="13"/>
  <c r="K57" i="13"/>
  <c r="K58" i="13"/>
  <c r="K59" i="13"/>
  <c r="K60" i="13"/>
  <c r="K61" i="13"/>
  <c r="K62" i="13"/>
  <c r="K63" i="13"/>
  <c r="K64" i="13"/>
  <c r="K65" i="13"/>
  <c r="K66" i="13"/>
  <c r="K67" i="13"/>
  <c r="K68" i="13"/>
  <c r="K69" i="13"/>
  <c r="K70" i="13"/>
  <c r="K71" i="13"/>
  <c r="K72" i="13"/>
  <c r="K73" i="13"/>
  <c r="K74" i="13"/>
  <c r="K75" i="13"/>
  <c r="K76" i="13"/>
  <c r="K77" i="13"/>
  <c r="K78" i="13"/>
  <c r="K79" i="13"/>
  <c r="K80" i="13"/>
  <c r="K81" i="13"/>
  <c r="K82" i="13"/>
  <c r="K83" i="13"/>
  <c r="K84" i="13"/>
  <c r="K85" i="13"/>
  <c r="K86" i="13"/>
  <c r="K87" i="13"/>
  <c r="K88" i="13"/>
  <c r="K89" i="13"/>
  <c r="K90" i="13"/>
  <c r="K91" i="13"/>
  <c r="K92" i="13"/>
  <c r="K93" i="13"/>
  <c r="K94" i="13"/>
  <c r="K95" i="13"/>
  <c r="K96" i="13"/>
  <c r="K97" i="13"/>
  <c r="K98" i="13"/>
  <c r="K99" i="13"/>
  <c r="K100" i="13"/>
  <c r="K101" i="13"/>
  <c r="K102" i="13"/>
  <c r="K103" i="13"/>
  <c r="K104" i="13"/>
  <c r="K105" i="13"/>
  <c r="K106" i="13"/>
  <c r="K107" i="13"/>
  <c r="K108" i="13"/>
  <c r="K109" i="13"/>
  <c r="K110" i="13"/>
  <c r="K111" i="13"/>
  <c r="K112" i="13"/>
  <c r="K113" i="13"/>
  <c r="K114" i="13"/>
  <c r="K115" i="13"/>
  <c r="K116" i="13"/>
  <c r="K117" i="13"/>
  <c r="K118" i="13"/>
  <c r="K119" i="13"/>
  <c r="K120" i="13"/>
  <c r="K121" i="13"/>
  <c r="K3" i="13"/>
  <c r="C129" i="13"/>
  <c r="C130" i="13"/>
  <c r="C131" i="13"/>
  <c r="C132" i="13"/>
  <c r="C133" i="13"/>
  <c r="C134" i="13"/>
  <c r="C135" i="13"/>
  <c r="C136" i="13"/>
  <c r="C148" i="13" s="1"/>
  <c r="C128" i="13"/>
  <c r="C146" i="13" l="1"/>
  <c r="C144" i="13"/>
  <c r="C142" i="13"/>
  <c r="C141" i="13"/>
  <c r="C147" i="13"/>
  <c r="C145" i="13"/>
  <c r="C143" i="13"/>
  <c r="C137" i="13"/>
  <c r="E28" i="23"/>
  <c r="H27" i="23"/>
  <c r="G22" i="23"/>
  <c r="R12" i="23"/>
  <c r="Q12" i="23"/>
  <c r="O12" i="23"/>
  <c r="N12" i="23"/>
  <c r="I12" i="23"/>
  <c r="R11" i="23"/>
  <c r="Q11" i="23"/>
  <c r="G27" i="23" s="1"/>
  <c r="O11" i="23"/>
  <c r="N11" i="23"/>
  <c r="I11" i="23"/>
  <c r="R10" i="23"/>
  <c r="H26" i="23" s="1"/>
  <c r="Q10" i="23"/>
  <c r="O10" i="23"/>
  <c r="N10" i="23"/>
  <c r="I10" i="23"/>
  <c r="R9" i="23"/>
  <c r="Q9" i="23"/>
  <c r="O9" i="23"/>
  <c r="E25" i="23" s="1"/>
  <c r="N9" i="23"/>
  <c r="D25" i="23"/>
  <c r="R8" i="23"/>
  <c r="Q8" i="23"/>
  <c r="G24" i="23" s="1"/>
  <c r="O8" i="23"/>
  <c r="E24" i="23" s="1"/>
  <c r="N8" i="23"/>
  <c r="I8" i="23"/>
  <c r="R7" i="23"/>
  <c r="Q7" i="23"/>
  <c r="O7" i="23"/>
  <c r="N7" i="23"/>
  <c r="I7" i="23"/>
  <c r="R6" i="23"/>
  <c r="H22" i="23" s="1"/>
  <c r="Q6" i="23"/>
  <c r="O6" i="23"/>
  <c r="N6" i="23"/>
  <c r="I6" i="23"/>
  <c r="R5" i="23"/>
  <c r="H21" i="23" s="1"/>
  <c r="Q5" i="23"/>
  <c r="O5" i="23"/>
  <c r="N5" i="23"/>
  <c r="R4" i="23"/>
  <c r="Q4" i="23"/>
  <c r="O4" i="23"/>
  <c r="N4" i="23"/>
  <c r="D20" i="23" s="1"/>
  <c r="I4" i="23"/>
  <c r="B12" i="22"/>
  <c r="B11" i="22"/>
  <c r="B10" i="22"/>
  <c r="K26" i="21" s="1"/>
  <c r="B9" i="22"/>
  <c r="B8" i="22"/>
  <c r="B7" i="22"/>
  <c r="B6" i="22"/>
  <c r="B5" i="22"/>
  <c r="B4" i="22"/>
  <c r="B3" i="22"/>
  <c r="I11" i="21"/>
  <c r="I10" i="21"/>
  <c r="I9" i="21"/>
  <c r="I8" i="21"/>
  <c r="I7" i="21"/>
  <c r="I6" i="21"/>
  <c r="I4" i="21"/>
  <c r="I3" i="21"/>
  <c r="F145" i="14"/>
  <c r="F144" i="14"/>
  <c r="F143" i="14"/>
  <c r="F142" i="14"/>
  <c r="F141" i="14"/>
  <c r="F140" i="14"/>
  <c r="F139" i="14"/>
  <c r="F138" i="14"/>
  <c r="F137" i="14"/>
  <c r="F136" i="14"/>
  <c r="F135" i="14"/>
  <c r="F134" i="14"/>
  <c r="D134" i="14"/>
  <c r="F133" i="14"/>
  <c r="D133" i="14"/>
  <c r="D145" i="14" s="1"/>
  <c r="C133" i="14"/>
  <c r="F132" i="14"/>
  <c r="D132" i="14"/>
  <c r="D144" i="14" s="1"/>
  <c r="C132" i="14"/>
  <c r="C144" i="14" s="1"/>
  <c r="F131" i="14"/>
  <c r="D131" i="14"/>
  <c r="D143" i="14" s="1"/>
  <c r="C131" i="14"/>
  <c r="C143" i="14" s="1"/>
  <c r="F130" i="14"/>
  <c r="D130" i="14"/>
  <c r="D142" i="14" s="1"/>
  <c r="C130" i="14"/>
  <c r="C142" i="14" s="1"/>
  <c r="F129" i="14"/>
  <c r="D129" i="14"/>
  <c r="D141" i="14" s="1"/>
  <c r="C129" i="14"/>
  <c r="C141" i="14" s="1"/>
  <c r="F128" i="14"/>
  <c r="D128" i="14"/>
  <c r="D140" i="14" s="1"/>
  <c r="C128" i="14"/>
  <c r="C140" i="14" s="1"/>
  <c r="F127" i="14"/>
  <c r="D127" i="14"/>
  <c r="D139" i="14" s="1"/>
  <c r="C127" i="14"/>
  <c r="C139" i="14" s="1"/>
  <c r="F126" i="14"/>
  <c r="D126" i="14"/>
  <c r="D138" i="14" s="1"/>
  <c r="C126" i="14"/>
  <c r="C138" i="14" s="1"/>
  <c r="F125" i="14"/>
  <c r="D125" i="14"/>
  <c r="D137" i="14" s="1"/>
  <c r="C125" i="14"/>
  <c r="C137" i="14" s="1"/>
  <c r="F124" i="14"/>
  <c r="D124" i="14"/>
  <c r="D136" i="14" s="1"/>
  <c r="C124" i="14"/>
  <c r="C136" i="14" s="1"/>
  <c r="F123" i="14"/>
  <c r="D123" i="14"/>
  <c r="D135" i="14" s="1"/>
  <c r="C123" i="14"/>
  <c r="C135" i="14" s="1"/>
  <c r="I122" i="14"/>
  <c r="F122" i="14"/>
  <c r="D122" i="14"/>
  <c r="C122" i="14"/>
  <c r="C134" i="14" s="1"/>
  <c r="P121" i="14"/>
  <c r="P122" i="14" s="1"/>
  <c r="P123" i="14" s="1"/>
  <c r="P124" i="14" s="1"/>
  <c r="P125" i="14" s="1"/>
  <c r="P126" i="14" s="1"/>
  <c r="P127" i="14" s="1"/>
  <c r="P128" i="14" s="1"/>
  <c r="P129" i="14" s="1"/>
  <c r="P130" i="14" s="1"/>
  <c r="P131" i="14" s="1"/>
  <c r="P132" i="14" s="1"/>
  <c r="P133" i="14" s="1"/>
  <c r="P134" i="14" s="1"/>
  <c r="P135" i="14" s="1"/>
  <c r="P136" i="14" s="1"/>
  <c r="P137" i="14" s="1"/>
  <c r="P138" i="14" s="1"/>
  <c r="P139" i="14" s="1"/>
  <c r="P140" i="14" s="1"/>
  <c r="P141" i="14" s="1"/>
  <c r="P142" i="14" s="1"/>
  <c r="P143" i="14" s="1"/>
  <c r="P144" i="14" s="1"/>
  <c r="P145" i="14" s="1"/>
  <c r="N121" i="14"/>
  <c r="N122" i="14" s="1"/>
  <c r="N123" i="14" s="1"/>
  <c r="N124" i="14" s="1"/>
  <c r="N125" i="14" s="1"/>
  <c r="N126" i="14" s="1"/>
  <c r="N127" i="14" s="1"/>
  <c r="N128" i="14" s="1"/>
  <c r="N129" i="14" s="1"/>
  <c r="N130" i="14" s="1"/>
  <c r="N131" i="14" s="1"/>
  <c r="N132" i="14" s="1"/>
  <c r="N133" i="14" s="1"/>
  <c r="N134" i="14" s="1"/>
  <c r="N135" i="14" s="1"/>
  <c r="N136" i="14" s="1"/>
  <c r="N137" i="14" s="1"/>
  <c r="N138" i="14" s="1"/>
  <c r="N139" i="14" s="1"/>
  <c r="N140" i="14" s="1"/>
  <c r="N141" i="14" s="1"/>
  <c r="N142" i="14" s="1"/>
  <c r="N143" i="14" s="1"/>
  <c r="N144" i="14" s="1"/>
  <c r="N145" i="14" s="1"/>
  <c r="J121" i="14"/>
  <c r="F121" i="14"/>
  <c r="P120" i="14"/>
  <c r="O120" i="14"/>
  <c r="N120" i="14"/>
  <c r="M120" i="14"/>
  <c r="L120" i="14"/>
  <c r="K120" i="14"/>
  <c r="J120" i="14"/>
  <c r="F120" i="14"/>
  <c r="P119" i="14"/>
  <c r="O119" i="14"/>
  <c r="N119" i="14"/>
  <c r="M119" i="14"/>
  <c r="L119" i="14"/>
  <c r="K119" i="14"/>
  <c r="J119" i="14"/>
  <c r="F119" i="14"/>
  <c r="P118" i="14"/>
  <c r="O118" i="14"/>
  <c r="N118" i="14"/>
  <c r="M118" i="14"/>
  <c r="L118" i="14"/>
  <c r="K118" i="14"/>
  <c r="J118" i="14"/>
  <c r="F118" i="14"/>
  <c r="P117" i="14"/>
  <c r="O117" i="14"/>
  <c r="N117" i="14"/>
  <c r="M117" i="14"/>
  <c r="L117" i="14"/>
  <c r="K117" i="14"/>
  <c r="J117" i="14"/>
  <c r="F117" i="14"/>
  <c r="P116" i="14"/>
  <c r="O116" i="14"/>
  <c r="N116" i="14"/>
  <c r="M116" i="14"/>
  <c r="L116" i="14"/>
  <c r="K116" i="14"/>
  <c r="J116" i="14"/>
  <c r="Q116" i="14" s="1"/>
  <c r="F116" i="14"/>
  <c r="P115" i="14"/>
  <c r="O115" i="14"/>
  <c r="N115" i="14"/>
  <c r="M115" i="14"/>
  <c r="L115" i="14"/>
  <c r="K115" i="14"/>
  <c r="J115" i="14"/>
  <c r="F115" i="14"/>
  <c r="P114" i="14"/>
  <c r="O114" i="14"/>
  <c r="N114" i="14"/>
  <c r="M114" i="14"/>
  <c r="L114" i="14"/>
  <c r="K114" i="14"/>
  <c r="J114" i="14"/>
  <c r="F114" i="14"/>
  <c r="P113" i="14"/>
  <c r="O113" i="14"/>
  <c r="N113" i="14"/>
  <c r="M113" i="14"/>
  <c r="L113" i="14"/>
  <c r="K113" i="14"/>
  <c r="J113" i="14"/>
  <c r="F113" i="14"/>
  <c r="P112" i="14"/>
  <c r="O112" i="14"/>
  <c r="N112" i="14"/>
  <c r="M112" i="14"/>
  <c r="L112" i="14"/>
  <c r="K112" i="14"/>
  <c r="J112" i="14"/>
  <c r="F112" i="14"/>
  <c r="P111" i="14"/>
  <c r="O111" i="14"/>
  <c r="N111" i="14"/>
  <c r="M111" i="14"/>
  <c r="L111" i="14"/>
  <c r="K111" i="14"/>
  <c r="J111" i="14"/>
  <c r="F111" i="14"/>
  <c r="P110" i="14"/>
  <c r="O110" i="14"/>
  <c r="N110" i="14"/>
  <c r="M110" i="14"/>
  <c r="L110" i="14"/>
  <c r="K110" i="14"/>
  <c r="J110" i="14"/>
  <c r="F110" i="14"/>
  <c r="P109" i="14"/>
  <c r="O109" i="14"/>
  <c r="N109" i="14"/>
  <c r="M109" i="14"/>
  <c r="L109" i="14"/>
  <c r="K109" i="14"/>
  <c r="J109" i="14"/>
  <c r="F109" i="14"/>
  <c r="P108" i="14"/>
  <c r="O108" i="14"/>
  <c r="N108" i="14"/>
  <c r="M108" i="14"/>
  <c r="L108" i="14"/>
  <c r="K108" i="14"/>
  <c r="J108" i="14"/>
  <c r="F108" i="14"/>
  <c r="P107" i="14"/>
  <c r="O107" i="14"/>
  <c r="N107" i="14"/>
  <c r="M107" i="14"/>
  <c r="L107" i="14"/>
  <c r="K107" i="14"/>
  <c r="J107" i="14"/>
  <c r="F107" i="14"/>
  <c r="P106" i="14"/>
  <c r="O106" i="14"/>
  <c r="N106" i="14"/>
  <c r="M106" i="14"/>
  <c r="L106" i="14"/>
  <c r="K106" i="14"/>
  <c r="J106" i="14"/>
  <c r="F106" i="14"/>
  <c r="P105" i="14"/>
  <c r="O105" i="14"/>
  <c r="N105" i="14"/>
  <c r="M105" i="14"/>
  <c r="L105" i="14"/>
  <c r="K105" i="14"/>
  <c r="J105" i="14"/>
  <c r="F105" i="14"/>
  <c r="P104" i="14"/>
  <c r="O104" i="14"/>
  <c r="N104" i="14"/>
  <c r="M104" i="14"/>
  <c r="L104" i="14"/>
  <c r="K104" i="14"/>
  <c r="J104" i="14"/>
  <c r="F104" i="14"/>
  <c r="P103" i="14"/>
  <c r="O103" i="14"/>
  <c r="N103" i="14"/>
  <c r="M103" i="14"/>
  <c r="L103" i="14"/>
  <c r="K103" i="14"/>
  <c r="J103" i="14"/>
  <c r="F103" i="14"/>
  <c r="P102" i="14"/>
  <c r="O102" i="14"/>
  <c r="N102" i="14"/>
  <c r="M102" i="14"/>
  <c r="L102" i="14"/>
  <c r="K102" i="14"/>
  <c r="J102" i="14"/>
  <c r="F102" i="14"/>
  <c r="P101" i="14"/>
  <c r="O101" i="14"/>
  <c r="N101" i="14"/>
  <c r="M101" i="14"/>
  <c r="L101" i="14"/>
  <c r="K101" i="14"/>
  <c r="J101" i="14"/>
  <c r="Q101" i="14" s="1"/>
  <c r="F101" i="14"/>
  <c r="P100" i="14"/>
  <c r="O100" i="14"/>
  <c r="N100" i="14"/>
  <c r="M100" i="14"/>
  <c r="L100" i="14"/>
  <c r="K100" i="14"/>
  <c r="J100" i="14"/>
  <c r="F100" i="14"/>
  <c r="P99" i="14"/>
  <c r="O99" i="14"/>
  <c r="N99" i="14"/>
  <c r="M99" i="14"/>
  <c r="L99" i="14"/>
  <c r="K99" i="14"/>
  <c r="J99" i="14"/>
  <c r="F99" i="14"/>
  <c r="P98" i="14"/>
  <c r="O98" i="14"/>
  <c r="N98" i="14"/>
  <c r="M98" i="14"/>
  <c r="L98" i="14"/>
  <c r="K98" i="14"/>
  <c r="J98" i="14"/>
  <c r="Q98" i="14" s="1"/>
  <c r="F98" i="14"/>
  <c r="P97" i="14"/>
  <c r="O97" i="14"/>
  <c r="N97" i="14"/>
  <c r="M97" i="14"/>
  <c r="L97" i="14"/>
  <c r="K97" i="14"/>
  <c r="J97" i="14"/>
  <c r="F97" i="14"/>
  <c r="P96" i="14"/>
  <c r="O96" i="14"/>
  <c r="N96" i="14"/>
  <c r="M96" i="14"/>
  <c r="L96" i="14"/>
  <c r="K96" i="14"/>
  <c r="J96" i="14"/>
  <c r="F96" i="14"/>
  <c r="P95" i="14"/>
  <c r="O95" i="14"/>
  <c r="N95" i="14"/>
  <c r="M95" i="14"/>
  <c r="L95" i="14"/>
  <c r="K95" i="14"/>
  <c r="J95" i="14"/>
  <c r="Q95" i="14" s="1"/>
  <c r="F95" i="14"/>
  <c r="P94" i="14"/>
  <c r="O94" i="14"/>
  <c r="N94" i="14"/>
  <c r="M94" i="14"/>
  <c r="L94" i="14"/>
  <c r="K94" i="14"/>
  <c r="J94" i="14"/>
  <c r="F94" i="14"/>
  <c r="P93" i="14"/>
  <c r="O93" i="14"/>
  <c r="N93" i="14"/>
  <c r="M93" i="14"/>
  <c r="L93" i="14"/>
  <c r="K93" i="14"/>
  <c r="J93" i="14"/>
  <c r="F93" i="14"/>
  <c r="P92" i="14"/>
  <c r="O92" i="14"/>
  <c r="N92" i="14"/>
  <c r="M92" i="14"/>
  <c r="L92" i="14"/>
  <c r="K92" i="14"/>
  <c r="J92" i="14"/>
  <c r="F92" i="14"/>
  <c r="P91" i="14"/>
  <c r="O91" i="14"/>
  <c r="N91" i="14"/>
  <c r="M91" i="14"/>
  <c r="L91" i="14"/>
  <c r="K91" i="14"/>
  <c r="J91" i="14"/>
  <c r="F91" i="14"/>
  <c r="P90" i="14"/>
  <c r="O90" i="14"/>
  <c r="N90" i="14"/>
  <c r="M90" i="14"/>
  <c r="L90" i="14"/>
  <c r="K90" i="14"/>
  <c r="J90" i="14"/>
  <c r="F90" i="14"/>
  <c r="P89" i="14"/>
  <c r="O89" i="14"/>
  <c r="N89" i="14"/>
  <c r="M89" i="14"/>
  <c r="L89" i="14"/>
  <c r="K89" i="14"/>
  <c r="J89" i="14"/>
  <c r="F89" i="14"/>
  <c r="P88" i="14"/>
  <c r="O88" i="14"/>
  <c r="N88" i="14"/>
  <c r="M88" i="14"/>
  <c r="L88" i="14"/>
  <c r="K88" i="14"/>
  <c r="J88" i="14"/>
  <c r="F88" i="14"/>
  <c r="P87" i="14"/>
  <c r="O87" i="14"/>
  <c r="N87" i="14"/>
  <c r="M87" i="14"/>
  <c r="L87" i="14"/>
  <c r="K87" i="14"/>
  <c r="J87" i="14"/>
  <c r="F87" i="14"/>
  <c r="P86" i="14"/>
  <c r="O86" i="14"/>
  <c r="N86" i="14"/>
  <c r="M86" i="14"/>
  <c r="L86" i="14"/>
  <c r="K86" i="14"/>
  <c r="J86" i="14"/>
  <c r="F86" i="14"/>
  <c r="P85" i="14"/>
  <c r="O85" i="14"/>
  <c r="N85" i="14"/>
  <c r="M85" i="14"/>
  <c r="L85" i="14"/>
  <c r="K85" i="14"/>
  <c r="J85" i="14"/>
  <c r="P84" i="14"/>
  <c r="O84" i="14"/>
  <c r="N84" i="14"/>
  <c r="M84" i="14"/>
  <c r="L84" i="14"/>
  <c r="K84" i="14"/>
  <c r="J84" i="14"/>
  <c r="P83" i="14"/>
  <c r="O83" i="14"/>
  <c r="N83" i="14"/>
  <c r="M83" i="14"/>
  <c r="L83" i="14"/>
  <c r="K83" i="14"/>
  <c r="J83" i="14"/>
  <c r="P82" i="14"/>
  <c r="O82" i="14"/>
  <c r="N82" i="14"/>
  <c r="M82" i="14"/>
  <c r="L82" i="14"/>
  <c r="K82" i="14"/>
  <c r="J82" i="14"/>
  <c r="P81" i="14"/>
  <c r="O81" i="14"/>
  <c r="N81" i="14"/>
  <c r="M81" i="14"/>
  <c r="L81" i="14"/>
  <c r="K81" i="14"/>
  <c r="J81" i="14"/>
  <c r="P80" i="14"/>
  <c r="O80" i="14"/>
  <c r="N80" i="14"/>
  <c r="M80" i="14"/>
  <c r="L80" i="14"/>
  <c r="K80" i="14"/>
  <c r="J80" i="14"/>
  <c r="P79" i="14"/>
  <c r="O79" i="14"/>
  <c r="N79" i="14"/>
  <c r="M79" i="14"/>
  <c r="L79" i="14"/>
  <c r="K79" i="14"/>
  <c r="J79" i="14"/>
  <c r="P78" i="14"/>
  <c r="O78" i="14"/>
  <c r="N78" i="14"/>
  <c r="M78" i="14"/>
  <c r="L78" i="14"/>
  <c r="K78" i="14"/>
  <c r="J78" i="14"/>
  <c r="P77" i="14"/>
  <c r="O77" i="14"/>
  <c r="N77" i="14"/>
  <c r="M77" i="14"/>
  <c r="L77" i="14"/>
  <c r="K77" i="14"/>
  <c r="J77" i="14"/>
  <c r="P76" i="14"/>
  <c r="O76" i="14"/>
  <c r="N76" i="14"/>
  <c r="M76" i="14"/>
  <c r="L76" i="14"/>
  <c r="K76" i="14"/>
  <c r="J76" i="14"/>
  <c r="P75" i="14"/>
  <c r="O75" i="14"/>
  <c r="N75" i="14"/>
  <c r="M75" i="14"/>
  <c r="L75" i="14"/>
  <c r="K75" i="14"/>
  <c r="J75" i="14"/>
  <c r="P74" i="14"/>
  <c r="O74" i="14"/>
  <c r="N74" i="14"/>
  <c r="M74" i="14"/>
  <c r="L74" i="14"/>
  <c r="K74" i="14"/>
  <c r="J74" i="14"/>
  <c r="P73" i="14"/>
  <c r="O73" i="14"/>
  <c r="N73" i="14"/>
  <c r="M73" i="14"/>
  <c r="L73" i="14"/>
  <c r="K73" i="14"/>
  <c r="J73" i="14"/>
  <c r="P72" i="14"/>
  <c r="O72" i="14"/>
  <c r="N72" i="14"/>
  <c r="M72" i="14"/>
  <c r="L72" i="14"/>
  <c r="K72" i="14"/>
  <c r="J72" i="14"/>
  <c r="P71" i="14"/>
  <c r="O71" i="14"/>
  <c r="N71" i="14"/>
  <c r="M71" i="14"/>
  <c r="L71" i="14"/>
  <c r="K71" i="14"/>
  <c r="J71" i="14"/>
  <c r="P70" i="14"/>
  <c r="O70" i="14"/>
  <c r="N70" i="14"/>
  <c r="M70" i="14"/>
  <c r="L70" i="14"/>
  <c r="K70" i="14"/>
  <c r="J70" i="14"/>
  <c r="P69" i="14"/>
  <c r="O69" i="14"/>
  <c r="N69" i="14"/>
  <c r="M69" i="14"/>
  <c r="L69" i="14"/>
  <c r="K69" i="14"/>
  <c r="J69" i="14"/>
  <c r="P68" i="14"/>
  <c r="O68" i="14"/>
  <c r="N68" i="14"/>
  <c r="M68" i="14"/>
  <c r="L68" i="14"/>
  <c r="K68" i="14"/>
  <c r="J68" i="14"/>
  <c r="P67" i="14"/>
  <c r="O67" i="14"/>
  <c r="N67" i="14"/>
  <c r="M67" i="14"/>
  <c r="L67" i="14"/>
  <c r="K67" i="14"/>
  <c r="J67" i="14"/>
  <c r="P66" i="14"/>
  <c r="O66" i="14"/>
  <c r="N66" i="14"/>
  <c r="M66" i="14"/>
  <c r="L66" i="14"/>
  <c r="K66" i="14"/>
  <c r="J66" i="14"/>
  <c r="Q66" i="14" s="1"/>
  <c r="P65" i="14"/>
  <c r="O65" i="14"/>
  <c r="N65" i="14"/>
  <c r="M65" i="14"/>
  <c r="L65" i="14"/>
  <c r="K65" i="14"/>
  <c r="J65" i="14"/>
  <c r="P64" i="14"/>
  <c r="O64" i="14"/>
  <c r="N64" i="14"/>
  <c r="M64" i="14"/>
  <c r="L64" i="14"/>
  <c r="K64" i="14"/>
  <c r="J64" i="14"/>
  <c r="P63" i="14"/>
  <c r="O63" i="14"/>
  <c r="N63" i="14"/>
  <c r="M63" i="14"/>
  <c r="L63" i="14"/>
  <c r="K63" i="14"/>
  <c r="J63" i="14"/>
  <c r="P62" i="14"/>
  <c r="O62" i="14"/>
  <c r="N62" i="14"/>
  <c r="M62" i="14"/>
  <c r="L62" i="14"/>
  <c r="K62" i="14"/>
  <c r="J62" i="14"/>
  <c r="P61" i="14"/>
  <c r="O61" i="14"/>
  <c r="N61" i="14"/>
  <c r="M61" i="14"/>
  <c r="L61" i="14"/>
  <c r="K61" i="14"/>
  <c r="J61" i="14"/>
  <c r="P60" i="14"/>
  <c r="O60" i="14"/>
  <c r="N60" i="14"/>
  <c r="M60" i="14"/>
  <c r="L60" i="14"/>
  <c r="K60" i="14"/>
  <c r="J60" i="14"/>
  <c r="P59" i="14"/>
  <c r="O59" i="14"/>
  <c r="N59" i="14"/>
  <c r="M59" i="14"/>
  <c r="L59" i="14"/>
  <c r="K59" i="14"/>
  <c r="J59" i="14"/>
  <c r="P58" i="14"/>
  <c r="O58" i="14"/>
  <c r="N58" i="14"/>
  <c r="M58" i="14"/>
  <c r="L58" i="14"/>
  <c r="K58" i="14"/>
  <c r="J58" i="14"/>
  <c r="P57" i="14"/>
  <c r="O57" i="14"/>
  <c r="N57" i="14"/>
  <c r="M57" i="14"/>
  <c r="L57" i="14"/>
  <c r="K57" i="14"/>
  <c r="J57" i="14"/>
  <c r="P56" i="14"/>
  <c r="O56" i="14"/>
  <c r="N56" i="14"/>
  <c r="M56" i="14"/>
  <c r="L56" i="14"/>
  <c r="K56" i="14"/>
  <c r="J56" i="14"/>
  <c r="P55" i="14"/>
  <c r="O55" i="14"/>
  <c r="N55" i="14"/>
  <c r="M55" i="14"/>
  <c r="L55" i="14"/>
  <c r="K55" i="14"/>
  <c r="J55" i="14"/>
  <c r="P54" i="14"/>
  <c r="O54" i="14"/>
  <c r="N54" i="14"/>
  <c r="M54" i="14"/>
  <c r="L54" i="14"/>
  <c r="K54" i="14"/>
  <c r="J54" i="14"/>
  <c r="P53" i="14"/>
  <c r="O53" i="14"/>
  <c r="N53" i="14"/>
  <c r="M53" i="14"/>
  <c r="L53" i="14"/>
  <c r="K53" i="14"/>
  <c r="J53" i="14"/>
  <c r="P52" i="14"/>
  <c r="O52" i="14"/>
  <c r="N52" i="14"/>
  <c r="M52" i="14"/>
  <c r="L52" i="14"/>
  <c r="K52" i="14"/>
  <c r="J52" i="14"/>
  <c r="P51" i="14"/>
  <c r="O51" i="14"/>
  <c r="N51" i="14"/>
  <c r="M51" i="14"/>
  <c r="L51" i="14"/>
  <c r="K51" i="14"/>
  <c r="J51" i="14"/>
  <c r="P50" i="14"/>
  <c r="O50" i="14"/>
  <c r="N50" i="14"/>
  <c r="M50" i="14"/>
  <c r="L50" i="14"/>
  <c r="K50" i="14"/>
  <c r="J50" i="14"/>
  <c r="P49" i="14"/>
  <c r="O49" i="14"/>
  <c r="N49" i="14"/>
  <c r="M49" i="14"/>
  <c r="L49" i="14"/>
  <c r="K49" i="14"/>
  <c r="J49" i="14"/>
  <c r="P48" i="14"/>
  <c r="O48" i="14"/>
  <c r="N48" i="14"/>
  <c r="M48" i="14"/>
  <c r="L48" i="14"/>
  <c r="K48" i="14"/>
  <c r="J48" i="14"/>
  <c r="P47" i="14"/>
  <c r="O47" i="14"/>
  <c r="N47" i="14"/>
  <c r="M47" i="14"/>
  <c r="L47" i="14"/>
  <c r="K47" i="14"/>
  <c r="J47" i="14"/>
  <c r="P46" i="14"/>
  <c r="O46" i="14"/>
  <c r="N46" i="14"/>
  <c r="M46" i="14"/>
  <c r="L46" i="14"/>
  <c r="K46" i="14"/>
  <c r="J46" i="14"/>
  <c r="P45" i="14"/>
  <c r="O45" i="14"/>
  <c r="N45" i="14"/>
  <c r="M45" i="14"/>
  <c r="L45" i="14"/>
  <c r="K45" i="14"/>
  <c r="J45" i="14"/>
  <c r="P44" i="14"/>
  <c r="O44" i="14"/>
  <c r="N44" i="14"/>
  <c r="M44" i="14"/>
  <c r="L44" i="14"/>
  <c r="K44" i="14"/>
  <c r="J44" i="14"/>
  <c r="P43" i="14"/>
  <c r="O43" i="14"/>
  <c r="N43" i="14"/>
  <c r="M43" i="14"/>
  <c r="L43" i="14"/>
  <c r="K43" i="14"/>
  <c r="J43" i="14"/>
  <c r="P42" i="14"/>
  <c r="O42" i="14"/>
  <c r="N42" i="14"/>
  <c r="M42" i="14"/>
  <c r="L42" i="14"/>
  <c r="K42" i="14"/>
  <c r="J42" i="14"/>
  <c r="P41" i="14"/>
  <c r="O41" i="14"/>
  <c r="N41" i="14"/>
  <c r="M41" i="14"/>
  <c r="L41" i="14"/>
  <c r="K41" i="14"/>
  <c r="J41" i="14"/>
  <c r="P40" i="14"/>
  <c r="O40" i="14"/>
  <c r="N40" i="14"/>
  <c r="M40" i="14"/>
  <c r="L40" i="14"/>
  <c r="K40" i="14"/>
  <c r="J40" i="14"/>
  <c r="P39" i="14"/>
  <c r="O39" i="14"/>
  <c r="N39" i="14"/>
  <c r="M39" i="14"/>
  <c r="L39" i="14"/>
  <c r="K39" i="14"/>
  <c r="J39" i="14"/>
  <c r="P38" i="14"/>
  <c r="O38" i="14"/>
  <c r="N38" i="14"/>
  <c r="M38" i="14"/>
  <c r="L38" i="14"/>
  <c r="K38" i="14"/>
  <c r="J38" i="14"/>
  <c r="P37" i="14"/>
  <c r="O37" i="14"/>
  <c r="N37" i="14"/>
  <c r="M37" i="14"/>
  <c r="L37" i="14"/>
  <c r="K37" i="14"/>
  <c r="J37" i="14"/>
  <c r="P36" i="14"/>
  <c r="O36" i="14"/>
  <c r="N36" i="14"/>
  <c r="M36" i="14"/>
  <c r="L36" i="14"/>
  <c r="K36" i="14"/>
  <c r="J36" i="14"/>
  <c r="P35" i="14"/>
  <c r="O35" i="14"/>
  <c r="N35" i="14"/>
  <c r="M35" i="14"/>
  <c r="L35" i="14"/>
  <c r="K35" i="14"/>
  <c r="Q35" i="14" s="1"/>
  <c r="J35" i="14"/>
  <c r="P34" i="14"/>
  <c r="O34" i="14"/>
  <c r="N34" i="14"/>
  <c r="M34" i="14"/>
  <c r="L34" i="14"/>
  <c r="K34" i="14"/>
  <c r="J34" i="14"/>
  <c r="P33" i="14"/>
  <c r="O33" i="14"/>
  <c r="N33" i="14"/>
  <c r="M33" i="14"/>
  <c r="L33" i="14"/>
  <c r="K33" i="14"/>
  <c r="J33" i="14"/>
  <c r="P32" i="14"/>
  <c r="O32" i="14"/>
  <c r="N32" i="14"/>
  <c r="M32" i="14"/>
  <c r="L32" i="14"/>
  <c r="K32" i="14"/>
  <c r="J32" i="14"/>
  <c r="P31" i="14"/>
  <c r="O31" i="14"/>
  <c r="N31" i="14"/>
  <c r="M31" i="14"/>
  <c r="L31" i="14"/>
  <c r="K31" i="14"/>
  <c r="J31" i="14"/>
  <c r="P30" i="14"/>
  <c r="O30" i="14"/>
  <c r="N30" i="14"/>
  <c r="M30" i="14"/>
  <c r="L30" i="14"/>
  <c r="K30" i="14"/>
  <c r="J30" i="14"/>
  <c r="P29" i="14"/>
  <c r="O29" i="14"/>
  <c r="N29" i="14"/>
  <c r="M29" i="14"/>
  <c r="L29" i="14"/>
  <c r="K29" i="14"/>
  <c r="J29" i="14"/>
  <c r="P28" i="14"/>
  <c r="O28" i="14"/>
  <c r="N28" i="14"/>
  <c r="M28" i="14"/>
  <c r="L28" i="14"/>
  <c r="K28" i="14"/>
  <c r="J28" i="14"/>
  <c r="P27" i="14"/>
  <c r="O27" i="14"/>
  <c r="N27" i="14"/>
  <c r="M27" i="14"/>
  <c r="L27" i="14"/>
  <c r="K27" i="14"/>
  <c r="J27" i="14"/>
  <c r="P26" i="14"/>
  <c r="O26" i="14"/>
  <c r="N26" i="14"/>
  <c r="M26" i="14"/>
  <c r="L26" i="14"/>
  <c r="K26" i="14"/>
  <c r="J26" i="14"/>
  <c r="P25" i="14"/>
  <c r="O25" i="14"/>
  <c r="N25" i="14"/>
  <c r="M25" i="14"/>
  <c r="L25" i="14"/>
  <c r="K25" i="14"/>
  <c r="J25" i="14"/>
  <c r="P24" i="14"/>
  <c r="O24" i="14"/>
  <c r="N24" i="14"/>
  <c r="M24" i="14"/>
  <c r="L24" i="14"/>
  <c r="K24" i="14"/>
  <c r="J24" i="14"/>
  <c r="P23" i="14"/>
  <c r="O23" i="14"/>
  <c r="N23" i="14"/>
  <c r="M23" i="14"/>
  <c r="L23" i="14"/>
  <c r="K23" i="14"/>
  <c r="J23" i="14"/>
  <c r="P22" i="14"/>
  <c r="O22" i="14"/>
  <c r="N22" i="14"/>
  <c r="M22" i="14"/>
  <c r="L22" i="14"/>
  <c r="K22" i="14"/>
  <c r="J22" i="14"/>
  <c r="P21" i="14"/>
  <c r="O21" i="14"/>
  <c r="N21" i="14"/>
  <c r="M21" i="14"/>
  <c r="L21" i="14"/>
  <c r="K21" i="14"/>
  <c r="J21" i="14"/>
  <c r="P20" i="14"/>
  <c r="O20" i="14"/>
  <c r="N20" i="14"/>
  <c r="M20" i="14"/>
  <c r="L20" i="14"/>
  <c r="K20" i="14"/>
  <c r="J20" i="14"/>
  <c r="P19" i="14"/>
  <c r="O19" i="14"/>
  <c r="N19" i="14"/>
  <c r="M19" i="14"/>
  <c r="L19" i="14"/>
  <c r="K19" i="14"/>
  <c r="J19" i="14"/>
  <c r="P18" i="14"/>
  <c r="O18" i="14"/>
  <c r="N18" i="14"/>
  <c r="M18" i="14"/>
  <c r="L18" i="14"/>
  <c r="K18" i="14"/>
  <c r="J18" i="14"/>
  <c r="P17" i="14"/>
  <c r="O17" i="14"/>
  <c r="N17" i="14"/>
  <c r="M17" i="14"/>
  <c r="L17" i="14"/>
  <c r="K17" i="14"/>
  <c r="J17" i="14"/>
  <c r="P16" i="14"/>
  <c r="O16" i="14"/>
  <c r="N16" i="14"/>
  <c r="M16" i="14"/>
  <c r="L16" i="14"/>
  <c r="K16" i="14"/>
  <c r="J16" i="14"/>
  <c r="P15" i="14"/>
  <c r="O15" i="14"/>
  <c r="N15" i="14"/>
  <c r="M15" i="14"/>
  <c r="L15" i="14"/>
  <c r="K15" i="14"/>
  <c r="J15" i="14"/>
  <c r="P14" i="14"/>
  <c r="O14" i="14"/>
  <c r="N14" i="14"/>
  <c r="M14" i="14"/>
  <c r="L14" i="14"/>
  <c r="K14" i="14"/>
  <c r="J14" i="14"/>
  <c r="P13" i="14"/>
  <c r="O13" i="14"/>
  <c r="N13" i="14"/>
  <c r="M13" i="14"/>
  <c r="L13" i="14"/>
  <c r="K13" i="14"/>
  <c r="J13" i="14"/>
  <c r="P12" i="14"/>
  <c r="O12" i="14"/>
  <c r="N12" i="14"/>
  <c r="M12" i="14"/>
  <c r="L12" i="14"/>
  <c r="K12" i="14"/>
  <c r="J12" i="14"/>
  <c r="P11" i="14"/>
  <c r="O11" i="14"/>
  <c r="N11" i="14"/>
  <c r="M11" i="14"/>
  <c r="L11" i="14"/>
  <c r="K11" i="14"/>
  <c r="J11" i="14"/>
  <c r="P10" i="14"/>
  <c r="O10" i="14"/>
  <c r="N10" i="14"/>
  <c r="M10" i="14"/>
  <c r="L10" i="14"/>
  <c r="K10" i="14"/>
  <c r="J10" i="14"/>
  <c r="P9" i="14"/>
  <c r="O9" i="14"/>
  <c r="N9" i="14"/>
  <c r="M9" i="14"/>
  <c r="L9" i="14"/>
  <c r="K9" i="14"/>
  <c r="J9" i="14"/>
  <c r="P8" i="14"/>
  <c r="O8" i="14"/>
  <c r="N8" i="14"/>
  <c r="M8" i="14"/>
  <c r="L8" i="14"/>
  <c r="K8" i="14"/>
  <c r="J8" i="14"/>
  <c r="P7" i="14"/>
  <c r="O7" i="14"/>
  <c r="N7" i="14"/>
  <c r="M7" i="14"/>
  <c r="L7" i="14"/>
  <c r="K7" i="14"/>
  <c r="J7" i="14"/>
  <c r="P6" i="14"/>
  <c r="O6" i="14"/>
  <c r="N6" i="14"/>
  <c r="M6" i="14"/>
  <c r="L6" i="14"/>
  <c r="K6" i="14"/>
  <c r="J6" i="14"/>
  <c r="P5" i="14"/>
  <c r="O5" i="14"/>
  <c r="N5" i="14"/>
  <c r="M5" i="14"/>
  <c r="L5" i="14"/>
  <c r="K5" i="14"/>
  <c r="J5" i="14"/>
  <c r="P4" i="14"/>
  <c r="O4" i="14"/>
  <c r="N4" i="14"/>
  <c r="M4" i="14"/>
  <c r="L4" i="14"/>
  <c r="K4" i="14"/>
  <c r="J4" i="14"/>
  <c r="P3" i="14"/>
  <c r="O3" i="14"/>
  <c r="N3" i="14"/>
  <c r="M3" i="14"/>
  <c r="L3" i="14"/>
  <c r="K3" i="14"/>
  <c r="J3" i="14"/>
  <c r="P2" i="14"/>
  <c r="O2" i="14"/>
  <c r="N2" i="14"/>
  <c r="M2" i="14"/>
  <c r="L2" i="14"/>
  <c r="K2" i="14"/>
  <c r="J2" i="14"/>
  <c r="G7" i="21"/>
  <c r="F146" i="13"/>
  <c r="F144" i="13"/>
  <c r="F142" i="13"/>
  <c r="I137" i="13"/>
  <c r="H137" i="13"/>
  <c r="H149" i="13" s="1"/>
  <c r="G137" i="13"/>
  <c r="I136" i="13"/>
  <c r="I148" i="13" s="1"/>
  <c r="H136" i="13"/>
  <c r="G136" i="13"/>
  <c r="G148" i="13" s="1"/>
  <c r="F136" i="13"/>
  <c r="E136" i="13"/>
  <c r="D136" i="13"/>
  <c r="D148" i="13" s="1"/>
  <c r="I135" i="13"/>
  <c r="I147" i="13" s="1"/>
  <c r="H135" i="13"/>
  <c r="Q10" i="22" s="1"/>
  <c r="G135" i="13"/>
  <c r="F135" i="13"/>
  <c r="O10" i="22" s="1"/>
  <c r="E135" i="13"/>
  <c r="E147" i="13" s="1"/>
  <c r="D135" i="13"/>
  <c r="I134" i="13"/>
  <c r="H134" i="13"/>
  <c r="H146" i="13" s="1"/>
  <c r="G134" i="13"/>
  <c r="O25" i="21" s="1"/>
  <c r="F134" i="13"/>
  <c r="O9" i="22" s="1"/>
  <c r="E134" i="13"/>
  <c r="D134" i="13"/>
  <c r="I133" i="13"/>
  <c r="H133" i="13"/>
  <c r="H145" i="13" s="1"/>
  <c r="G133" i="13"/>
  <c r="G145" i="13" s="1"/>
  <c r="F133" i="13"/>
  <c r="E133" i="13"/>
  <c r="M24" i="21" s="1"/>
  <c r="D133" i="13"/>
  <c r="I132" i="13"/>
  <c r="I144" i="13" s="1"/>
  <c r="H132" i="13"/>
  <c r="G132" i="13"/>
  <c r="F132" i="13"/>
  <c r="F145" i="13" s="1"/>
  <c r="E132" i="13"/>
  <c r="D132" i="13"/>
  <c r="D144" i="13" s="1"/>
  <c r="I131" i="13"/>
  <c r="H131" i="13"/>
  <c r="H144" i="13" s="1"/>
  <c r="G131" i="13"/>
  <c r="F131" i="13"/>
  <c r="E131" i="13"/>
  <c r="D131" i="13"/>
  <c r="I130" i="13"/>
  <c r="H130" i="13"/>
  <c r="G130" i="13"/>
  <c r="F130" i="13"/>
  <c r="E130" i="13"/>
  <c r="D130" i="13"/>
  <c r="D142" i="13" s="1"/>
  <c r="I129" i="13"/>
  <c r="Q20" i="21" s="1"/>
  <c r="H129" i="13"/>
  <c r="G129" i="13"/>
  <c r="F129" i="13"/>
  <c r="E129" i="13"/>
  <c r="D129" i="13"/>
  <c r="I128" i="13"/>
  <c r="H128" i="13"/>
  <c r="G128" i="13"/>
  <c r="F128" i="13"/>
  <c r="F141" i="13" s="1"/>
  <c r="E128" i="13"/>
  <c r="D128" i="13"/>
  <c r="O121" i="14"/>
  <c r="O122" i="14" s="1"/>
  <c r="O123" i="14" s="1"/>
  <c r="O124" i="14" s="1"/>
  <c r="O125" i="14" s="1"/>
  <c r="O126" i="14" s="1"/>
  <c r="O127" i="14" s="1"/>
  <c r="O128" i="14" s="1"/>
  <c r="O129" i="14" s="1"/>
  <c r="O130" i="14" s="1"/>
  <c r="O131" i="14" s="1"/>
  <c r="O132" i="14" s="1"/>
  <c r="O133" i="14" s="1"/>
  <c r="O134" i="14" s="1"/>
  <c r="O135" i="14" s="1"/>
  <c r="O136" i="14" s="1"/>
  <c r="O137" i="14" s="1"/>
  <c r="O138" i="14" s="1"/>
  <c r="O139" i="14" s="1"/>
  <c r="O140" i="14" s="1"/>
  <c r="O141" i="14" s="1"/>
  <c r="O142" i="14" s="1"/>
  <c r="O143" i="14" s="1"/>
  <c r="O144" i="14" s="1"/>
  <c r="O145" i="14" s="1"/>
  <c r="M121" i="14"/>
  <c r="K121" i="14"/>
  <c r="A33" i="13"/>
  <c r="A45" i="13" s="1"/>
  <c r="A57" i="13" s="1"/>
  <c r="A69" i="13" s="1"/>
  <c r="A81" i="13" s="1"/>
  <c r="A93" i="13" s="1"/>
  <c r="A105" i="13" s="1"/>
  <c r="A26" i="13"/>
  <c r="A38" i="13" s="1"/>
  <c r="A50" i="13" s="1"/>
  <c r="A62" i="13" s="1"/>
  <c r="A74" i="13" s="1"/>
  <c r="A86" i="13" s="1"/>
  <c r="A98" i="13" s="1"/>
  <c r="A110" i="13" s="1"/>
  <c r="A25" i="13"/>
  <c r="A37" i="13" s="1"/>
  <c r="A49" i="13" s="1"/>
  <c r="A61" i="13" s="1"/>
  <c r="A73" i="13" s="1"/>
  <c r="A85" i="13" s="1"/>
  <c r="A97" i="13" s="1"/>
  <c r="A109" i="13" s="1"/>
  <c r="A24" i="13"/>
  <c r="A36" i="13" s="1"/>
  <c r="A48" i="13" s="1"/>
  <c r="A60" i="13" s="1"/>
  <c r="A72" i="13" s="1"/>
  <c r="A84" i="13" s="1"/>
  <c r="A96" i="13" s="1"/>
  <c r="A108" i="13" s="1"/>
  <c r="A23" i="13"/>
  <c r="A35" i="13" s="1"/>
  <c r="A47" i="13" s="1"/>
  <c r="A59" i="13" s="1"/>
  <c r="A71" i="13" s="1"/>
  <c r="A83" i="13" s="1"/>
  <c r="A95" i="13" s="1"/>
  <c r="A107" i="13" s="1"/>
  <c r="A22" i="13"/>
  <c r="A34" i="13" s="1"/>
  <c r="A46" i="13" s="1"/>
  <c r="A58" i="13" s="1"/>
  <c r="A70" i="13" s="1"/>
  <c r="A82" i="13" s="1"/>
  <c r="A94" i="13" s="1"/>
  <c r="A106" i="13" s="1"/>
  <c r="A21" i="13"/>
  <c r="A20" i="13"/>
  <c r="A32" i="13" s="1"/>
  <c r="A44" i="13" s="1"/>
  <c r="A56" i="13" s="1"/>
  <c r="A68" i="13" s="1"/>
  <c r="A80" i="13" s="1"/>
  <c r="A92" i="13" s="1"/>
  <c r="A104" i="13" s="1"/>
  <c r="A19" i="13"/>
  <c r="A31" i="13" s="1"/>
  <c r="A43" i="13" s="1"/>
  <c r="A55" i="13" s="1"/>
  <c r="A67" i="13" s="1"/>
  <c r="A79" i="13" s="1"/>
  <c r="A91" i="13" s="1"/>
  <c r="A103" i="13" s="1"/>
  <c r="A18" i="13"/>
  <c r="A30" i="13" s="1"/>
  <c r="A42" i="13" s="1"/>
  <c r="A54" i="13" s="1"/>
  <c r="A66" i="13" s="1"/>
  <c r="A78" i="13" s="1"/>
  <c r="A90" i="13" s="1"/>
  <c r="A102" i="13" s="1"/>
  <c r="A17" i="13"/>
  <c r="A29" i="13" s="1"/>
  <c r="A41" i="13" s="1"/>
  <c r="A53" i="13" s="1"/>
  <c r="A65" i="13" s="1"/>
  <c r="A77" i="13" s="1"/>
  <c r="A89" i="13" s="1"/>
  <c r="A101" i="13" s="1"/>
  <c r="A16" i="13"/>
  <c r="A28" i="13" s="1"/>
  <c r="A40" i="13" s="1"/>
  <c r="A52" i="13" s="1"/>
  <c r="A64" i="13" s="1"/>
  <c r="A76" i="13" s="1"/>
  <c r="A88" i="13" s="1"/>
  <c r="A100" i="13" s="1"/>
  <c r="A15" i="13"/>
  <c r="A27" i="13" s="1"/>
  <c r="A39" i="13" s="1"/>
  <c r="A51" i="13" s="1"/>
  <c r="A63" i="13" s="1"/>
  <c r="A75" i="13" s="1"/>
  <c r="A87" i="13" s="1"/>
  <c r="A99" i="13" s="1"/>
  <c r="E147" i="12"/>
  <c r="D147" i="12"/>
  <c r="D146" i="12"/>
  <c r="F145" i="12"/>
  <c r="K144" i="12"/>
  <c r="F144" i="12"/>
  <c r="K143" i="12"/>
  <c r="K142" i="12"/>
  <c r="D141" i="12"/>
  <c r="L137" i="12"/>
  <c r="K137" i="12"/>
  <c r="K149" i="12" s="1"/>
  <c r="H137" i="12"/>
  <c r="F137" i="12"/>
  <c r="F149" i="12" s="1"/>
  <c r="E137" i="12"/>
  <c r="D137" i="12"/>
  <c r="L136" i="12"/>
  <c r="K136" i="12"/>
  <c r="K148" i="12" s="1"/>
  <c r="F136" i="12"/>
  <c r="F148" i="12" s="1"/>
  <c r="E136" i="12"/>
  <c r="E148" i="12" s="1"/>
  <c r="D136" i="12"/>
  <c r="D148" i="12" s="1"/>
  <c r="L135" i="12"/>
  <c r="K135" i="12"/>
  <c r="K147" i="12" s="1"/>
  <c r="F135" i="12"/>
  <c r="F147" i="12" s="1"/>
  <c r="E135" i="12"/>
  <c r="D135" i="12"/>
  <c r="L134" i="12"/>
  <c r="K134" i="12"/>
  <c r="K146" i="12" s="1"/>
  <c r="H134" i="12"/>
  <c r="F134" i="12"/>
  <c r="F146" i="12" s="1"/>
  <c r="E134" i="12"/>
  <c r="E146" i="12" s="1"/>
  <c r="D134" i="12"/>
  <c r="L133" i="12"/>
  <c r="K133" i="12"/>
  <c r="K145" i="12" s="1"/>
  <c r="H133" i="12"/>
  <c r="H145" i="12" s="1"/>
  <c r="F133" i="12"/>
  <c r="E133" i="12"/>
  <c r="E145" i="12" s="1"/>
  <c r="D133" i="12"/>
  <c r="L132" i="12"/>
  <c r="K132" i="12"/>
  <c r="H132" i="12"/>
  <c r="H144" i="12" s="1"/>
  <c r="F132" i="12"/>
  <c r="E132" i="12"/>
  <c r="E144" i="12" s="1"/>
  <c r="D132" i="12"/>
  <c r="D144" i="12" s="1"/>
  <c r="L131" i="12"/>
  <c r="K131" i="12"/>
  <c r="H131" i="12"/>
  <c r="F131" i="12"/>
  <c r="F143" i="12" s="1"/>
  <c r="E131" i="12"/>
  <c r="E143" i="12" s="1"/>
  <c r="D131" i="12"/>
  <c r="L130" i="12"/>
  <c r="K130" i="12"/>
  <c r="H130" i="12"/>
  <c r="F130" i="12"/>
  <c r="F142" i="12" s="1"/>
  <c r="E130" i="12"/>
  <c r="E142" i="12" s="1"/>
  <c r="D130" i="12"/>
  <c r="D143" i="12" s="1"/>
  <c r="L129" i="12"/>
  <c r="K129" i="12"/>
  <c r="K141" i="12" s="1"/>
  <c r="H129" i="12"/>
  <c r="F129" i="12"/>
  <c r="E129" i="12"/>
  <c r="E141" i="12" s="1"/>
  <c r="D129" i="12"/>
  <c r="L128" i="12"/>
  <c r="K128" i="12"/>
  <c r="H128" i="12"/>
  <c r="H141" i="12" s="1"/>
  <c r="F128" i="12"/>
  <c r="F141" i="12" s="1"/>
  <c r="E128" i="12"/>
  <c r="D128" i="12"/>
  <c r="M122" i="12"/>
  <c r="M121" i="12"/>
  <c r="M120" i="12"/>
  <c r="M119" i="12"/>
  <c r="M118" i="12"/>
  <c r="M117" i="12"/>
  <c r="M116" i="12"/>
  <c r="M115" i="12"/>
  <c r="M114" i="12"/>
  <c r="M113" i="12"/>
  <c r="M112" i="12"/>
  <c r="M111" i="12"/>
  <c r="M137" i="12" s="1"/>
  <c r="M149" i="12" s="1"/>
  <c r="M110" i="12"/>
  <c r="M109" i="12"/>
  <c r="M108" i="12"/>
  <c r="M107" i="12"/>
  <c r="C107" i="12"/>
  <c r="H107" i="12" s="1"/>
  <c r="M106" i="12"/>
  <c r="C106" i="12"/>
  <c r="H106" i="12" s="1"/>
  <c r="M105" i="12"/>
  <c r="C105" i="12"/>
  <c r="M104" i="12"/>
  <c r="M103" i="12"/>
  <c r="M102" i="12"/>
  <c r="M101" i="12"/>
  <c r="M100" i="12"/>
  <c r="M99" i="12"/>
  <c r="M136" i="12" s="1"/>
  <c r="M98" i="12"/>
  <c r="C98" i="12"/>
  <c r="M97" i="12"/>
  <c r="M96" i="12"/>
  <c r="M95" i="12"/>
  <c r="M94" i="12"/>
  <c r="M93" i="12"/>
  <c r="M92" i="12"/>
  <c r="M91" i="12"/>
  <c r="M90" i="12"/>
  <c r="M89" i="12"/>
  <c r="M88" i="12"/>
  <c r="M135" i="12" s="1"/>
  <c r="M87" i="12"/>
  <c r="M86" i="12"/>
  <c r="M85" i="12"/>
  <c r="M84" i="12"/>
  <c r="M83" i="12"/>
  <c r="M82" i="12"/>
  <c r="M81" i="12"/>
  <c r="M80" i="12"/>
  <c r="M79" i="12"/>
  <c r="M78" i="12"/>
  <c r="M77" i="12"/>
  <c r="M76" i="12"/>
  <c r="M134" i="12" s="1"/>
  <c r="M75" i="12"/>
  <c r="M74" i="12"/>
  <c r="M73" i="12"/>
  <c r="M72" i="12"/>
  <c r="M71" i="12"/>
  <c r="M70" i="12"/>
  <c r="M69" i="12"/>
  <c r="M68" i="12"/>
  <c r="M67" i="12"/>
  <c r="M66" i="12"/>
  <c r="M133" i="12" s="1"/>
  <c r="M65" i="12"/>
  <c r="M64" i="12"/>
  <c r="M63" i="12"/>
  <c r="M62" i="12"/>
  <c r="M61" i="12"/>
  <c r="M60" i="12"/>
  <c r="M59" i="12"/>
  <c r="M58" i="12"/>
  <c r="M57" i="12"/>
  <c r="M56" i="12"/>
  <c r="M55" i="12"/>
  <c r="M54" i="12"/>
  <c r="M132" i="12" s="1"/>
  <c r="M53" i="12"/>
  <c r="M52" i="12"/>
  <c r="M51" i="12"/>
  <c r="M50" i="12"/>
  <c r="M49" i="12"/>
  <c r="M48" i="12"/>
  <c r="M47" i="12"/>
  <c r="M46" i="12"/>
  <c r="M45" i="12"/>
  <c r="M44" i="12"/>
  <c r="M43" i="12"/>
  <c r="M42" i="12"/>
  <c r="M131" i="12" s="1"/>
  <c r="M41" i="12"/>
  <c r="M40" i="12"/>
  <c r="M39" i="12"/>
  <c r="M38" i="12"/>
  <c r="M37" i="12"/>
  <c r="M36" i="12"/>
  <c r="M35" i="12"/>
  <c r="M34" i="12"/>
  <c r="M33" i="12"/>
  <c r="M32" i="12"/>
  <c r="M31" i="12"/>
  <c r="M30" i="12"/>
  <c r="M130" i="12" s="1"/>
  <c r="M142" i="12" s="1"/>
  <c r="M29" i="12"/>
  <c r="M28" i="12"/>
  <c r="M27" i="12"/>
  <c r="M26" i="12"/>
  <c r="A26" i="12"/>
  <c r="A38" i="12" s="1"/>
  <c r="A50" i="12" s="1"/>
  <c r="A62" i="12" s="1"/>
  <c r="A74" i="12" s="1"/>
  <c r="A86" i="12" s="1"/>
  <c r="A98" i="12" s="1"/>
  <c r="A110" i="12" s="1"/>
  <c r="M25" i="12"/>
  <c r="A25" i="12"/>
  <c r="A37" i="12" s="1"/>
  <c r="A49" i="12" s="1"/>
  <c r="A61" i="12" s="1"/>
  <c r="A73" i="12" s="1"/>
  <c r="A85" i="12" s="1"/>
  <c r="A97" i="12" s="1"/>
  <c r="A109" i="12" s="1"/>
  <c r="M24" i="12"/>
  <c r="A24" i="12"/>
  <c r="A36" i="12" s="1"/>
  <c r="A48" i="12" s="1"/>
  <c r="A60" i="12" s="1"/>
  <c r="A72" i="12" s="1"/>
  <c r="A84" i="12" s="1"/>
  <c r="A96" i="12" s="1"/>
  <c r="A108" i="12" s="1"/>
  <c r="M23" i="12"/>
  <c r="A23" i="12"/>
  <c r="A35" i="12" s="1"/>
  <c r="A47" i="12" s="1"/>
  <c r="A59" i="12" s="1"/>
  <c r="A71" i="12" s="1"/>
  <c r="A83" i="12" s="1"/>
  <c r="A95" i="12" s="1"/>
  <c r="A107" i="12" s="1"/>
  <c r="M22" i="12"/>
  <c r="A22" i="12"/>
  <c r="A34" i="12" s="1"/>
  <c r="A46" i="12" s="1"/>
  <c r="A58" i="12" s="1"/>
  <c r="A70" i="12" s="1"/>
  <c r="A82" i="12" s="1"/>
  <c r="A94" i="12" s="1"/>
  <c r="A106" i="12" s="1"/>
  <c r="M21" i="12"/>
  <c r="A21" i="12"/>
  <c r="A33" i="12" s="1"/>
  <c r="A45" i="12" s="1"/>
  <c r="A57" i="12" s="1"/>
  <c r="A69" i="12" s="1"/>
  <c r="A81" i="12" s="1"/>
  <c r="A93" i="12" s="1"/>
  <c r="A105" i="12" s="1"/>
  <c r="M20" i="12"/>
  <c r="A20" i="12"/>
  <c r="A32" i="12" s="1"/>
  <c r="A44" i="12" s="1"/>
  <c r="A56" i="12" s="1"/>
  <c r="A68" i="12" s="1"/>
  <c r="A80" i="12" s="1"/>
  <c r="A92" i="12" s="1"/>
  <c r="A104" i="12" s="1"/>
  <c r="M19" i="12"/>
  <c r="A19" i="12"/>
  <c r="A31" i="12" s="1"/>
  <c r="A43" i="12" s="1"/>
  <c r="A55" i="12" s="1"/>
  <c r="A67" i="12" s="1"/>
  <c r="A79" i="12" s="1"/>
  <c r="A91" i="12" s="1"/>
  <c r="A103" i="12" s="1"/>
  <c r="M18" i="12"/>
  <c r="A18" i="12"/>
  <c r="A30" i="12" s="1"/>
  <c r="A42" i="12" s="1"/>
  <c r="A54" i="12" s="1"/>
  <c r="A66" i="12" s="1"/>
  <c r="A78" i="12" s="1"/>
  <c r="A90" i="12" s="1"/>
  <c r="A102" i="12" s="1"/>
  <c r="M17" i="12"/>
  <c r="A17" i="12"/>
  <c r="A29" i="12" s="1"/>
  <c r="A41" i="12" s="1"/>
  <c r="A53" i="12" s="1"/>
  <c r="A65" i="12" s="1"/>
  <c r="A77" i="12" s="1"/>
  <c r="A89" i="12" s="1"/>
  <c r="A101" i="12" s="1"/>
  <c r="M16" i="12"/>
  <c r="A16" i="12"/>
  <c r="A28" i="12" s="1"/>
  <c r="A40" i="12" s="1"/>
  <c r="A52" i="12" s="1"/>
  <c r="A64" i="12" s="1"/>
  <c r="A76" i="12" s="1"/>
  <c r="A88" i="12" s="1"/>
  <c r="A100" i="12" s="1"/>
  <c r="M15" i="12"/>
  <c r="M129" i="12" s="1"/>
  <c r="A15" i="12"/>
  <c r="A27" i="12" s="1"/>
  <c r="A39" i="12" s="1"/>
  <c r="A51" i="12" s="1"/>
  <c r="A63" i="12" s="1"/>
  <c r="A75" i="12" s="1"/>
  <c r="A87" i="12" s="1"/>
  <c r="A99" i="12" s="1"/>
  <c r="M14" i="12"/>
  <c r="M13" i="12"/>
  <c r="M12" i="12"/>
  <c r="M11" i="12"/>
  <c r="M10" i="12"/>
  <c r="M9" i="12"/>
  <c r="M8" i="12"/>
  <c r="M7" i="12"/>
  <c r="M6" i="12"/>
  <c r="M5" i="12"/>
  <c r="M4" i="12"/>
  <c r="M128" i="12" s="1"/>
  <c r="M141" i="12" s="1"/>
  <c r="E148" i="1"/>
  <c r="D148" i="1"/>
  <c r="I146" i="1"/>
  <c r="H146" i="1"/>
  <c r="G146" i="1"/>
  <c r="I145" i="1"/>
  <c r="G145" i="1"/>
  <c r="D145" i="1"/>
  <c r="I144" i="1"/>
  <c r="D144" i="1"/>
  <c r="I143" i="1"/>
  <c r="D143" i="1"/>
  <c r="D142" i="1"/>
  <c r="I137" i="1"/>
  <c r="H137" i="1"/>
  <c r="G137" i="1"/>
  <c r="F137" i="1"/>
  <c r="E137" i="1"/>
  <c r="E149" i="1" s="1"/>
  <c r="D137" i="1"/>
  <c r="I136" i="1"/>
  <c r="H136" i="1"/>
  <c r="H148" i="1" s="1"/>
  <c r="G136" i="1"/>
  <c r="G148" i="1" s="1"/>
  <c r="F136" i="1"/>
  <c r="F148" i="1" s="1"/>
  <c r="E136" i="1"/>
  <c r="D136" i="1"/>
  <c r="I135" i="1"/>
  <c r="I147" i="1" s="1"/>
  <c r="H135" i="1"/>
  <c r="H147" i="1" s="1"/>
  <c r="G135" i="1"/>
  <c r="G147" i="1" s="1"/>
  <c r="F135" i="1"/>
  <c r="F147" i="1" s="1"/>
  <c r="E135" i="1"/>
  <c r="E147" i="1" s="1"/>
  <c r="D135" i="1"/>
  <c r="I134" i="1"/>
  <c r="H134" i="1"/>
  <c r="G134" i="1"/>
  <c r="F134" i="1"/>
  <c r="F146" i="1" s="1"/>
  <c r="E134" i="1"/>
  <c r="E146" i="1" s="1"/>
  <c r="D134" i="1"/>
  <c r="I133" i="1"/>
  <c r="H133" i="1"/>
  <c r="H145" i="1" s="1"/>
  <c r="G133" i="1"/>
  <c r="F133" i="1"/>
  <c r="E133" i="1"/>
  <c r="E145" i="1" s="1"/>
  <c r="D133" i="1"/>
  <c r="I132" i="1"/>
  <c r="H132" i="1"/>
  <c r="H144" i="1" s="1"/>
  <c r="G132" i="1"/>
  <c r="G144" i="1" s="1"/>
  <c r="F132" i="1"/>
  <c r="F144" i="1" s="1"/>
  <c r="E132" i="1"/>
  <c r="E144" i="1" s="1"/>
  <c r="D132" i="1"/>
  <c r="I131" i="1"/>
  <c r="H131" i="1"/>
  <c r="G131" i="1"/>
  <c r="G143" i="1" s="1"/>
  <c r="F131" i="1"/>
  <c r="E131" i="1"/>
  <c r="E143" i="1" s="1"/>
  <c r="D131" i="1"/>
  <c r="I130" i="1"/>
  <c r="I142" i="1" s="1"/>
  <c r="H130" i="1"/>
  <c r="H142" i="1" s="1"/>
  <c r="G130" i="1"/>
  <c r="G142" i="1" s="1"/>
  <c r="F130" i="1"/>
  <c r="F142" i="1" s="1"/>
  <c r="E130" i="1"/>
  <c r="E142" i="1" s="1"/>
  <c r="D130" i="1"/>
  <c r="I129" i="1"/>
  <c r="I141" i="1" s="1"/>
  <c r="H129" i="1"/>
  <c r="G129" i="1"/>
  <c r="G141" i="1" s="1"/>
  <c r="F129" i="1"/>
  <c r="E129" i="1"/>
  <c r="E141" i="1" s="1"/>
  <c r="D129" i="1"/>
  <c r="I128" i="1"/>
  <c r="H128" i="1"/>
  <c r="H141" i="1" s="1"/>
  <c r="G128" i="1"/>
  <c r="F128" i="1"/>
  <c r="F141" i="1" s="1"/>
  <c r="E128" i="1"/>
  <c r="D128" i="1"/>
  <c r="A29" i="1"/>
  <c r="A41" i="1" s="1"/>
  <c r="A53" i="1" s="1"/>
  <c r="A65" i="1" s="1"/>
  <c r="A77" i="1" s="1"/>
  <c r="A89" i="1" s="1"/>
  <c r="A101" i="1" s="1"/>
  <c r="A26" i="1"/>
  <c r="A38" i="1" s="1"/>
  <c r="A50" i="1" s="1"/>
  <c r="A62" i="1" s="1"/>
  <c r="A74" i="1" s="1"/>
  <c r="A86" i="1" s="1"/>
  <c r="A98" i="1" s="1"/>
  <c r="A110" i="1" s="1"/>
  <c r="A25" i="1"/>
  <c r="A37" i="1" s="1"/>
  <c r="A49" i="1" s="1"/>
  <c r="A61" i="1" s="1"/>
  <c r="A73" i="1" s="1"/>
  <c r="A85" i="1" s="1"/>
  <c r="A97" i="1" s="1"/>
  <c r="A109" i="1" s="1"/>
  <c r="A24" i="1"/>
  <c r="A36" i="1" s="1"/>
  <c r="A48" i="1" s="1"/>
  <c r="A60" i="1" s="1"/>
  <c r="A72" i="1" s="1"/>
  <c r="A84" i="1" s="1"/>
  <c r="A96" i="1" s="1"/>
  <c r="A108" i="1" s="1"/>
  <c r="A23" i="1"/>
  <c r="A35" i="1" s="1"/>
  <c r="A47" i="1" s="1"/>
  <c r="A59" i="1" s="1"/>
  <c r="A71" i="1" s="1"/>
  <c r="A83" i="1" s="1"/>
  <c r="A95" i="1" s="1"/>
  <c r="A107" i="1" s="1"/>
  <c r="A22" i="1"/>
  <c r="A34" i="1" s="1"/>
  <c r="A46" i="1" s="1"/>
  <c r="A58" i="1" s="1"/>
  <c r="A70" i="1" s="1"/>
  <c r="A82" i="1" s="1"/>
  <c r="A94" i="1" s="1"/>
  <c r="A106" i="1" s="1"/>
  <c r="A21" i="1"/>
  <c r="A33" i="1" s="1"/>
  <c r="A45" i="1" s="1"/>
  <c r="A57" i="1" s="1"/>
  <c r="A69" i="1" s="1"/>
  <c r="A81" i="1" s="1"/>
  <c r="A93" i="1" s="1"/>
  <c r="A105" i="1" s="1"/>
  <c r="A20" i="1"/>
  <c r="A32" i="1" s="1"/>
  <c r="A44" i="1" s="1"/>
  <c r="A56" i="1" s="1"/>
  <c r="A68" i="1" s="1"/>
  <c r="A80" i="1" s="1"/>
  <c r="A92" i="1" s="1"/>
  <c r="A104" i="1" s="1"/>
  <c r="A19" i="1"/>
  <c r="A31" i="1" s="1"/>
  <c r="A43" i="1" s="1"/>
  <c r="A55" i="1" s="1"/>
  <c r="A67" i="1" s="1"/>
  <c r="A79" i="1" s="1"/>
  <c r="A91" i="1" s="1"/>
  <c r="A103" i="1" s="1"/>
  <c r="A18" i="1"/>
  <c r="A30" i="1" s="1"/>
  <c r="A42" i="1" s="1"/>
  <c r="A54" i="1" s="1"/>
  <c r="A66" i="1" s="1"/>
  <c r="A78" i="1" s="1"/>
  <c r="A90" i="1" s="1"/>
  <c r="A102" i="1" s="1"/>
  <c r="A17" i="1"/>
  <c r="A16" i="1"/>
  <c r="A28" i="1" s="1"/>
  <c r="A40" i="1" s="1"/>
  <c r="A52" i="1" s="1"/>
  <c r="A64" i="1" s="1"/>
  <c r="A76" i="1" s="1"/>
  <c r="A88" i="1" s="1"/>
  <c r="A100" i="1" s="1"/>
  <c r="A15" i="1"/>
  <c r="A27" i="1" s="1"/>
  <c r="A39" i="1" s="1"/>
  <c r="A51" i="1" s="1"/>
  <c r="A63" i="1" s="1"/>
  <c r="A75" i="1" s="1"/>
  <c r="A87" i="1" s="1"/>
  <c r="A99" i="1" s="1"/>
  <c r="M143" i="12" l="1"/>
  <c r="M144" i="12"/>
  <c r="M145" i="12"/>
  <c r="M146" i="12"/>
  <c r="M147" i="12"/>
  <c r="M148" i="12"/>
  <c r="D142" i="12"/>
  <c r="G143" i="13"/>
  <c r="H148" i="13"/>
  <c r="Q41" i="14"/>
  <c r="Q43" i="14"/>
  <c r="Q74" i="14"/>
  <c r="F143" i="1"/>
  <c r="D145" i="12"/>
  <c r="L11" i="22"/>
  <c r="E146" i="13"/>
  <c r="Q33" i="14"/>
  <c r="Q92" i="14"/>
  <c r="Q110" i="14"/>
  <c r="K129" i="1"/>
  <c r="K131" i="1"/>
  <c r="K133" i="1"/>
  <c r="K145" i="1" s="1"/>
  <c r="K135" i="1"/>
  <c r="H143" i="1"/>
  <c r="F145" i="1"/>
  <c r="D147" i="1"/>
  <c r="I148" i="1"/>
  <c r="C135" i="12"/>
  <c r="C147" i="12" s="1"/>
  <c r="H98" i="12"/>
  <c r="H135" i="12" s="1"/>
  <c r="Q86" i="14"/>
  <c r="Q118" i="14"/>
  <c r="G149" i="1"/>
  <c r="C136" i="12"/>
  <c r="H105" i="12"/>
  <c r="H136" i="12" s="1"/>
  <c r="H149" i="12" s="1"/>
  <c r="G147" i="13"/>
  <c r="Q49" i="14"/>
  <c r="Q94" i="14"/>
  <c r="H147" i="13"/>
  <c r="D146" i="1"/>
  <c r="H143" i="12"/>
  <c r="Q27" i="14"/>
  <c r="Q58" i="14"/>
  <c r="Q82" i="14"/>
  <c r="K128" i="1"/>
  <c r="K130" i="1"/>
  <c r="K142" i="1" s="1"/>
  <c r="K132" i="1"/>
  <c r="K144" i="1" s="1"/>
  <c r="K134" i="1"/>
  <c r="K146" i="1" s="1"/>
  <c r="K136" i="1"/>
  <c r="K148" i="1" s="1"/>
  <c r="D141" i="1"/>
  <c r="Q99" i="14"/>
  <c r="Q102" i="14"/>
  <c r="Q117" i="14"/>
  <c r="G8" i="21"/>
  <c r="S8" i="23"/>
  <c r="E22" i="23"/>
  <c r="E27" i="23"/>
  <c r="S4" i="23"/>
  <c r="S10" i="23"/>
  <c r="E20" i="23"/>
  <c r="H24" i="23"/>
  <c r="S5" i="23"/>
  <c r="D27" i="23"/>
  <c r="G20" i="23"/>
  <c r="E23" i="23"/>
  <c r="G25" i="23"/>
  <c r="D28" i="23"/>
  <c r="S6" i="23"/>
  <c r="S11" i="23"/>
  <c r="H20" i="23"/>
  <c r="G23" i="23"/>
  <c r="H25" i="23"/>
  <c r="D23" i="23"/>
  <c r="E21" i="23"/>
  <c r="H23" i="23"/>
  <c r="E26" i="23"/>
  <c r="G28" i="23"/>
  <c r="S9" i="23"/>
  <c r="S7" i="23"/>
  <c r="S12" i="23"/>
  <c r="G21" i="23"/>
  <c r="D24" i="23"/>
  <c r="G26" i="23"/>
  <c r="H28" i="23"/>
  <c r="B27" i="22"/>
  <c r="K24" i="21"/>
  <c r="L4" i="22"/>
  <c r="B19" i="22"/>
  <c r="I41" i="24"/>
  <c r="D42" i="24"/>
  <c r="E42" i="24"/>
  <c r="J41" i="24"/>
  <c r="C41" i="24"/>
  <c r="H41" i="24"/>
  <c r="K41" i="24"/>
  <c r="C42" i="24"/>
  <c r="G41" i="24"/>
  <c r="G42" i="24"/>
  <c r="E41" i="24"/>
  <c r="K42" i="24"/>
  <c r="F42" i="24"/>
  <c r="H149" i="1"/>
  <c r="N19" i="21"/>
  <c r="H141" i="13"/>
  <c r="D21" i="22"/>
  <c r="M22" i="21"/>
  <c r="N6" i="22"/>
  <c r="F19" i="22"/>
  <c r="Q8" i="22"/>
  <c r="G23" i="22"/>
  <c r="P24" i="21"/>
  <c r="K128" i="13"/>
  <c r="O4" i="22"/>
  <c r="N20" i="21"/>
  <c r="K132" i="13"/>
  <c r="N24" i="21"/>
  <c r="O8" i="22"/>
  <c r="E23" i="22"/>
  <c r="P25" i="21"/>
  <c r="Q9" i="22"/>
  <c r="G24" i="22"/>
  <c r="K136" i="13"/>
  <c r="H27" i="22"/>
  <c r="R12" i="22"/>
  <c r="O19" i="21"/>
  <c r="P4" i="22"/>
  <c r="P10" i="22"/>
  <c r="F25" i="22"/>
  <c r="O26" i="21"/>
  <c r="O39" i="21" s="1"/>
  <c r="E24" i="22"/>
  <c r="N10" i="22"/>
  <c r="M26" i="21"/>
  <c r="D19" i="22"/>
  <c r="E141" i="13"/>
  <c r="G141" i="13"/>
  <c r="I142" i="13"/>
  <c r="E144" i="13"/>
  <c r="D23" i="22"/>
  <c r="G146" i="13"/>
  <c r="I146" i="13"/>
  <c r="E148" i="13"/>
  <c r="I141" i="13"/>
  <c r="E145" i="13"/>
  <c r="Q89" i="14"/>
  <c r="O20" i="21"/>
  <c r="R4" i="22"/>
  <c r="G25" i="22"/>
  <c r="F20" i="22"/>
  <c r="O21" i="21"/>
  <c r="P5" i="22"/>
  <c r="H25" i="22"/>
  <c r="M10" i="22"/>
  <c r="I10" i="22"/>
  <c r="C25" i="22"/>
  <c r="L26" i="21"/>
  <c r="O11" i="22"/>
  <c r="E26" i="22"/>
  <c r="N27" i="21"/>
  <c r="O7" i="22"/>
  <c r="E22" i="22"/>
  <c r="H19" i="22"/>
  <c r="G144" i="13"/>
  <c r="I149" i="13"/>
  <c r="L19" i="21"/>
  <c r="P21" i="21"/>
  <c r="Q7" i="22"/>
  <c r="G22" i="22"/>
  <c r="P23" i="21"/>
  <c r="C24" i="22"/>
  <c r="L25" i="21"/>
  <c r="I8" i="22"/>
  <c r="I145" i="13"/>
  <c r="O6" i="22"/>
  <c r="E21" i="22"/>
  <c r="N22" i="21"/>
  <c r="E25" i="22"/>
  <c r="N26" i="21"/>
  <c r="Q26" i="21"/>
  <c r="M9" i="22"/>
  <c r="F24" i="22"/>
  <c r="P9" i="22"/>
  <c r="P19" i="21"/>
  <c r="K134" i="13"/>
  <c r="Q19" i="21"/>
  <c r="Q33" i="21" s="1"/>
  <c r="D20" i="22"/>
  <c r="M21" i="21"/>
  <c r="N5" i="22"/>
  <c r="E143" i="13"/>
  <c r="H26" i="22"/>
  <c r="Q27" i="21"/>
  <c r="H21" i="22"/>
  <c r="Q22" i="21"/>
  <c r="R6" i="22"/>
  <c r="L121" i="14"/>
  <c r="Q121" i="14" s="1"/>
  <c r="E137" i="13"/>
  <c r="K130" i="13"/>
  <c r="Q11" i="22"/>
  <c r="G26" i="22"/>
  <c r="P27" i="21"/>
  <c r="C19" i="22"/>
  <c r="M4" i="22"/>
  <c r="L20" i="21"/>
  <c r="E20" i="22"/>
  <c r="N21" i="21"/>
  <c r="O5" i="22"/>
  <c r="G21" i="22"/>
  <c r="P22" i="21"/>
  <c r="Q6" i="22"/>
  <c r="L24" i="21"/>
  <c r="N25" i="21"/>
  <c r="N38" i="21" s="1"/>
  <c r="P26" i="21"/>
  <c r="G149" i="13"/>
  <c r="N23" i="21"/>
  <c r="M20" i="21"/>
  <c r="R11" i="22"/>
  <c r="B22" i="22"/>
  <c r="K122" i="13"/>
  <c r="D141" i="13"/>
  <c r="E142" i="13"/>
  <c r="F143" i="13"/>
  <c r="Q32" i="14"/>
  <c r="Q40" i="14"/>
  <c r="Q48" i="14"/>
  <c r="Q5" i="22"/>
  <c r="K129" i="13"/>
  <c r="Q23" i="14"/>
  <c r="Q31" i="14"/>
  <c r="Q39" i="14"/>
  <c r="Q47" i="14"/>
  <c r="Q62" i="14"/>
  <c r="Q70" i="14"/>
  <c r="Q78" i="14"/>
  <c r="Q97" i="14"/>
  <c r="Q15" i="14"/>
  <c r="K133" i="13"/>
  <c r="D137" i="13"/>
  <c r="G142" i="13"/>
  <c r="H143" i="13"/>
  <c r="D147" i="13"/>
  <c r="Q6" i="14"/>
  <c r="Q22" i="14"/>
  <c r="Q30" i="14"/>
  <c r="Q38" i="14"/>
  <c r="Q46" i="14"/>
  <c r="Q61" i="14"/>
  <c r="Q69" i="14"/>
  <c r="Q77" i="14"/>
  <c r="Q85" i="14"/>
  <c r="Q105" i="14"/>
  <c r="L7" i="22"/>
  <c r="I11" i="22"/>
  <c r="H142" i="13"/>
  <c r="I143" i="13"/>
  <c r="D146" i="13"/>
  <c r="F148" i="13"/>
  <c r="Q5" i="14"/>
  <c r="Q29" i="14"/>
  <c r="Q37" i="14"/>
  <c r="Q45" i="14"/>
  <c r="Q88" i="14"/>
  <c r="Q113" i="14"/>
  <c r="L10" i="22"/>
  <c r="P28" i="21"/>
  <c r="C149" i="13"/>
  <c r="F137" i="13"/>
  <c r="D145" i="13"/>
  <c r="F147" i="13"/>
  <c r="Q28" i="14"/>
  <c r="Q36" i="14"/>
  <c r="Q44" i="14"/>
  <c r="Q59" i="14"/>
  <c r="Q67" i="14"/>
  <c r="Q75" i="14"/>
  <c r="Q83" i="14"/>
  <c r="Q93" i="14"/>
  <c r="K23" i="21"/>
  <c r="K37" i="21" s="1"/>
  <c r="B23" i="22"/>
  <c r="K131" i="13"/>
  <c r="K135" i="13"/>
  <c r="D143" i="13"/>
  <c r="K122" i="14"/>
  <c r="K123" i="14" s="1"/>
  <c r="Q26" i="14"/>
  <c r="Q34" i="14"/>
  <c r="Q42" i="14"/>
  <c r="Q57" i="14"/>
  <c r="Q65" i="14"/>
  <c r="Q73" i="14"/>
  <c r="Q81" i="14"/>
  <c r="Q103" i="14"/>
  <c r="Q104" i="14"/>
  <c r="Q106" i="14"/>
  <c r="Q107" i="14"/>
  <c r="Q108" i="14"/>
  <c r="Q109" i="14"/>
  <c r="E149" i="12"/>
  <c r="D149" i="12"/>
  <c r="L42" i="24"/>
  <c r="Q28" i="21"/>
  <c r="R13" i="23"/>
  <c r="I149" i="1"/>
  <c r="Q13" i="23"/>
  <c r="O13" i="23"/>
  <c r="F149" i="1"/>
  <c r="K137" i="1"/>
  <c r="D149" i="1"/>
  <c r="K28" i="21"/>
  <c r="I123" i="14"/>
  <c r="H122" i="14"/>
  <c r="C145" i="14"/>
  <c r="Q56" i="14"/>
  <c r="Q64" i="14"/>
  <c r="Q72" i="14"/>
  <c r="Q80" i="14"/>
  <c r="Q111" i="14"/>
  <c r="Q112" i="14"/>
  <c r="Q114" i="14"/>
  <c r="Q115" i="14"/>
  <c r="Q55" i="14"/>
  <c r="Q63" i="14"/>
  <c r="Q71" i="14"/>
  <c r="Q79" i="14"/>
  <c r="Q119" i="14"/>
  <c r="Q54" i="14"/>
  <c r="L122" i="14"/>
  <c r="L123" i="14" s="1"/>
  <c r="Q53" i="14"/>
  <c r="Q52" i="14"/>
  <c r="Q60" i="14"/>
  <c r="Q68" i="14"/>
  <c r="Q76" i="14"/>
  <c r="Q84" i="14"/>
  <c r="Q87" i="14"/>
  <c r="Q2" i="14"/>
  <c r="Q3" i="14"/>
  <c r="Q4" i="14"/>
  <c r="Q7" i="14"/>
  <c r="Q8" i="14"/>
  <c r="Q9" i="14"/>
  <c r="Q10" i="14"/>
  <c r="Q11" i="14"/>
  <c r="Q12" i="14"/>
  <c r="Q13" i="14"/>
  <c r="Q14" i="14"/>
  <c r="Q16" i="14"/>
  <c r="Q17" i="14"/>
  <c r="Q18" i="14"/>
  <c r="Q19" i="14"/>
  <c r="Q20" i="14"/>
  <c r="Q21" i="14"/>
  <c r="Q24" i="14"/>
  <c r="Q25" i="14"/>
  <c r="Q51" i="14"/>
  <c r="Q90" i="14"/>
  <c r="Q91" i="14"/>
  <c r="M122" i="14"/>
  <c r="J122" i="14"/>
  <c r="J123" i="14" s="1"/>
  <c r="Q50" i="14"/>
  <c r="Q96" i="14"/>
  <c r="Q100" i="14"/>
  <c r="G11" i="21"/>
  <c r="G6" i="21"/>
  <c r="I5" i="21"/>
  <c r="G10" i="21"/>
  <c r="K22" i="21"/>
  <c r="K21" i="21"/>
  <c r="D41" i="24"/>
  <c r="G9" i="21"/>
  <c r="F41" i="24"/>
  <c r="D22" i="23"/>
  <c r="D26" i="23"/>
  <c r="H42" i="24"/>
  <c r="I42" i="24"/>
  <c r="I5" i="23"/>
  <c r="I9" i="23"/>
  <c r="I13" i="23"/>
  <c r="J42" i="24"/>
  <c r="D21" i="23"/>
  <c r="H147" i="12"/>
  <c r="H146" i="12"/>
  <c r="H142" i="12"/>
  <c r="Q120" i="14"/>
  <c r="K20" i="21"/>
  <c r="L8" i="22"/>
  <c r="B21" i="22"/>
  <c r="K27" i="21"/>
  <c r="K40" i="21" s="1"/>
  <c r="B20" i="22"/>
  <c r="I5" i="22"/>
  <c r="L6" i="22"/>
  <c r="K25" i="21"/>
  <c r="K38" i="21" s="1"/>
  <c r="L5" i="22"/>
  <c r="B26" i="22"/>
  <c r="L12" i="22"/>
  <c r="B25" i="22"/>
  <c r="L9" i="22"/>
  <c r="B24" i="22"/>
  <c r="K19" i="21"/>
  <c r="I3" i="22"/>
  <c r="C148" i="12" l="1"/>
  <c r="C149" i="12"/>
  <c r="K143" i="1"/>
  <c r="K141" i="1"/>
  <c r="H148" i="12"/>
  <c r="B29" i="22"/>
  <c r="K147" i="1"/>
  <c r="L38" i="21"/>
  <c r="K34" i="21"/>
  <c r="K33" i="21"/>
  <c r="O34" i="21"/>
  <c r="N33" i="21"/>
  <c r="P38" i="21"/>
  <c r="H29" i="23"/>
  <c r="G29" i="23"/>
  <c r="G31" i="23" s="1"/>
  <c r="E29" i="23"/>
  <c r="E33" i="23" s="1"/>
  <c r="K29" i="21"/>
  <c r="K30" i="21"/>
  <c r="P39" i="21"/>
  <c r="P30" i="21"/>
  <c r="P29" i="21"/>
  <c r="M34" i="21"/>
  <c r="N8" i="22"/>
  <c r="K36" i="21"/>
  <c r="Q40" i="21"/>
  <c r="N35" i="21"/>
  <c r="P35" i="21"/>
  <c r="E19" i="22"/>
  <c r="I4" i="22"/>
  <c r="J40" i="24"/>
  <c r="I12" i="21"/>
  <c r="O28" i="21"/>
  <c r="N4" i="22"/>
  <c r="L33" i="21"/>
  <c r="C22" i="22"/>
  <c r="M7" i="22"/>
  <c r="I7" i="22"/>
  <c r="L23" i="21"/>
  <c r="C23" i="22"/>
  <c r="C20" i="22"/>
  <c r="L21" i="21"/>
  <c r="L34" i="21" s="1"/>
  <c r="M5" i="22"/>
  <c r="K141" i="13"/>
  <c r="L39" i="21"/>
  <c r="N11" i="22"/>
  <c r="D26" i="22"/>
  <c r="M27" i="21"/>
  <c r="M40" i="21" s="1"/>
  <c r="H20" i="22"/>
  <c r="R5" i="22"/>
  <c r="Q21" i="21"/>
  <c r="Q34" i="21" s="1"/>
  <c r="N9" i="22"/>
  <c r="D24" i="22"/>
  <c r="M25" i="21"/>
  <c r="M38" i="21" s="1"/>
  <c r="K146" i="13"/>
  <c r="P11" i="22"/>
  <c r="F26" i="22"/>
  <c r="O27" i="21"/>
  <c r="O40" i="21" s="1"/>
  <c r="R13" i="22"/>
  <c r="H14" i="22"/>
  <c r="Q30" i="21" s="1"/>
  <c r="I9" i="22"/>
  <c r="F149" i="13"/>
  <c r="P40" i="21"/>
  <c r="R9" i="22"/>
  <c r="H24" i="22"/>
  <c r="Q25" i="21"/>
  <c r="P37" i="21"/>
  <c r="M35" i="21"/>
  <c r="F21" i="22"/>
  <c r="O22" i="21"/>
  <c r="O35" i="21" s="1"/>
  <c r="P6" i="22"/>
  <c r="E149" i="13"/>
  <c r="F22" i="22"/>
  <c r="O23" i="21"/>
  <c r="P7" i="22"/>
  <c r="L22" i="21"/>
  <c r="M6" i="22"/>
  <c r="C21" i="22"/>
  <c r="K147" i="13"/>
  <c r="K137" i="13"/>
  <c r="D149" i="13"/>
  <c r="H22" i="22"/>
  <c r="Q23" i="21"/>
  <c r="Q36" i="21" s="1"/>
  <c r="R7" i="22"/>
  <c r="M8" i="22"/>
  <c r="N34" i="21"/>
  <c r="P36" i="21"/>
  <c r="O33" i="21"/>
  <c r="P8" i="22"/>
  <c r="F23" i="22"/>
  <c r="O24" i="21"/>
  <c r="M19" i="21"/>
  <c r="M33" i="21" s="1"/>
  <c r="C40" i="24"/>
  <c r="I6" i="22"/>
  <c r="K143" i="13"/>
  <c r="L27" i="21"/>
  <c r="L40" i="21" s="1"/>
  <c r="M11" i="22"/>
  <c r="C26" i="22"/>
  <c r="K145" i="13"/>
  <c r="N36" i="21"/>
  <c r="N39" i="21"/>
  <c r="H23" i="22"/>
  <c r="Q24" i="21"/>
  <c r="R8" i="22"/>
  <c r="N40" i="21"/>
  <c r="R10" i="22"/>
  <c r="K148" i="13"/>
  <c r="N37" i="21"/>
  <c r="G27" i="22"/>
  <c r="Q12" i="22"/>
  <c r="G13" i="22"/>
  <c r="Q4" i="22"/>
  <c r="P20" i="21"/>
  <c r="P33" i="21" s="1"/>
  <c r="D40" i="24"/>
  <c r="G19" i="22"/>
  <c r="F13" i="22"/>
  <c r="F27" i="22"/>
  <c r="P12" i="22"/>
  <c r="K142" i="13"/>
  <c r="G20" i="22"/>
  <c r="M23" i="21"/>
  <c r="N7" i="22"/>
  <c r="D22" i="22"/>
  <c r="D25" i="22"/>
  <c r="K144" i="13"/>
  <c r="H33" i="23"/>
  <c r="H31" i="23"/>
  <c r="Q41" i="21"/>
  <c r="P41" i="21"/>
  <c r="G12" i="21"/>
  <c r="K149" i="1"/>
  <c r="M28" i="21"/>
  <c r="N13" i="23"/>
  <c r="L28" i="21"/>
  <c r="I124" i="14"/>
  <c r="H123" i="14"/>
  <c r="M123" i="14"/>
  <c r="Q122" i="14"/>
  <c r="L124" i="14"/>
  <c r="K124" i="14"/>
  <c r="G5" i="21"/>
  <c r="K41" i="21"/>
  <c r="K35" i="21"/>
  <c r="J124" i="14"/>
  <c r="K39" i="21"/>
  <c r="Q35" i="21" l="1"/>
  <c r="G33" i="23"/>
  <c r="E31" i="23"/>
  <c r="L36" i="21"/>
  <c r="O30" i="21"/>
  <c r="O29" i="21"/>
  <c r="B13" i="22"/>
  <c r="K48" i="21" s="1"/>
  <c r="K56" i="21" s="1"/>
  <c r="Q38" i="21"/>
  <c r="M30" i="21"/>
  <c r="M29" i="21"/>
  <c r="L30" i="21"/>
  <c r="L29" i="21"/>
  <c r="O41" i="21"/>
  <c r="C13" i="21"/>
  <c r="C4" i="21"/>
  <c r="G6" i="24"/>
  <c r="C8" i="21"/>
  <c r="D8" i="21" s="1"/>
  <c r="E8" i="21" s="1"/>
  <c r="C10" i="21"/>
  <c r="D10" i="21" s="1"/>
  <c r="E10" i="21" s="1"/>
  <c r="C3" i="21"/>
  <c r="C5" i="21"/>
  <c r="D5" i="21" s="1"/>
  <c r="E5" i="21" s="1"/>
  <c r="C14" i="21"/>
  <c r="I14" i="21" s="1"/>
  <c r="G40" i="24"/>
  <c r="H40" i="24"/>
  <c r="I40" i="24"/>
  <c r="K40" i="24"/>
  <c r="L41" i="24"/>
  <c r="K45" i="21"/>
  <c r="K149" i="13"/>
  <c r="O37" i="21"/>
  <c r="O38" i="21"/>
  <c r="M39" i="21"/>
  <c r="L37" i="21"/>
  <c r="O36" i="21"/>
  <c r="R14" i="22"/>
  <c r="G14" i="22"/>
  <c r="Q13" i="22"/>
  <c r="F40" i="24"/>
  <c r="E27" i="22"/>
  <c r="E29" i="22" s="1"/>
  <c r="E13" i="22" s="1"/>
  <c r="O12" i="22"/>
  <c r="N28" i="21"/>
  <c r="P13" i="22"/>
  <c r="F14" i="22"/>
  <c r="D27" i="22"/>
  <c r="D29" i="22" s="1"/>
  <c r="D13" i="22" s="1"/>
  <c r="N12" i="22"/>
  <c r="M36" i="21"/>
  <c r="M37" i="21"/>
  <c r="C27" i="22"/>
  <c r="C29" i="22" s="1"/>
  <c r="C13" i="22" s="1"/>
  <c r="M12" i="22"/>
  <c r="I12" i="22"/>
  <c r="L35" i="21"/>
  <c r="P34" i="21"/>
  <c r="P43" i="21" s="1"/>
  <c r="Q37" i="21"/>
  <c r="Q39" i="21"/>
  <c r="E40" i="24"/>
  <c r="P45" i="21"/>
  <c r="M41" i="21"/>
  <c r="S13" i="23"/>
  <c r="D29" i="23"/>
  <c r="L41" i="21"/>
  <c r="I125" i="14"/>
  <c r="H124" i="14"/>
  <c r="I6" i="24"/>
  <c r="H6" i="24"/>
  <c r="C9" i="21"/>
  <c r="D9" i="21" s="1"/>
  <c r="E9" i="21" s="1"/>
  <c r="C11" i="21"/>
  <c r="D11" i="21" s="1"/>
  <c r="E11" i="21" s="1"/>
  <c r="J6" i="24"/>
  <c r="C12" i="21"/>
  <c r="D12" i="21" s="1"/>
  <c r="E12" i="21" s="1"/>
  <c r="L6" i="24"/>
  <c r="C6" i="21"/>
  <c r="D6" i="21" s="1"/>
  <c r="E6" i="21" s="1"/>
  <c r="K6" i="24"/>
  <c r="C7" i="21"/>
  <c r="D7" i="21" s="1"/>
  <c r="E7" i="21" s="1"/>
  <c r="M124" i="14"/>
  <c r="M125" i="14" s="1"/>
  <c r="M126" i="14" s="1"/>
  <c r="L125" i="14"/>
  <c r="Q123" i="14"/>
  <c r="K125" i="14"/>
  <c r="J125" i="14"/>
  <c r="K43" i="21"/>
  <c r="O45" i="21" l="1"/>
  <c r="O43" i="21"/>
  <c r="L13" i="22"/>
  <c r="B14" i="22"/>
  <c r="N41" i="21"/>
  <c r="N45" i="21" s="1"/>
  <c r="N29" i="21"/>
  <c r="N48" i="21" s="1"/>
  <c r="N56" i="21" s="1"/>
  <c r="N30" i="21"/>
  <c r="Q45" i="21"/>
  <c r="L40" i="24"/>
  <c r="F6" i="24"/>
  <c r="E6" i="24"/>
  <c r="N13" i="22"/>
  <c r="D14" i="22"/>
  <c r="P14" i="22"/>
  <c r="M13" i="22"/>
  <c r="C14" i="22"/>
  <c r="Q14" i="22"/>
  <c r="O13" i="22"/>
  <c r="E14" i="22"/>
  <c r="I13" i="22"/>
  <c r="Q43" i="21"/>
  <c r="Q49" i="21"/>
  <c r="Q48" i="21"/>
  <c r="P48" i="21"/>
  <c r="P56" i="21" s="1"/>
  <c r="P49" i="21"/>
  <c r="P57" i="21" s="1"/>
  <c r="O48" i="21"/>
  <c r="O56" i="21" s="1"/>
  <c r="O49" i="21"/>
  <c r="O57" i="21" s="1"/>
  <c r="D31" i="23"/>
  <c r="D33" i="23"/>
  <c r="M45" i="21"/>
  <c r="M43" i="21"/>
  <c r="L43" i="21"/>
  <c r="L45" i="21"/>
  <c r="I126" i="14"/>
  <c r="H125" i="14"/>
  <c r="Q124" i="14"/>
  <c r="K126" i="14"/>
  <c r="M127" i="14"/>
  <c r="M128" i="14" s="1"/>
  <c r="M129" i="14" s="1"/>
  <c r="M130" i="14" s="1"/>
  <c r="Q125" i="14"/>
  <c r="L126" i="14"/>
  <c r="J126" i="14"/>
  <c r="Q57" i="21" l="1"/>
  <c r="L14" i="22"/>
  <c r="N43" i="21"/>
  <c r="K49" i="21"/>
  <c r="K57" i="21" s="1"/>
  <c r="M40" i="24"/>
  <c r="Q56" i="21"/>
  <c r="N49" i="21"/>
  <c r="N57" i="21" s="1"/>
  <c r="Q126" i="14"/>
  <c r="M14" i="22"/>
  <c r="I14" i="22"/>
  <c r="N14" i="22"/>
  <c r="O14" i="22"/>
  <c r="M48" i="21"/>
  <c r="M56" i="21" s="1"/>
  <c r="M49" i="21"/>
  <c r="M57" i="21" s="1"/>
  <c r="L48" i="21"/>
  <c r="L49" i="21"/>
  <c r="I127" i="14"/>
  <c r="I128" i="14" s="1"/>
  <c r="I129" i="14" s="1"/>
  <c r="I130" i="14" s="1"/>
  <c r="I131" i="14" s="1"/>
  <c r="I132" i="14" s="1"/>
  <c r="I133" i="14" s="1"/>
  <c r="I134" i="14" s="1"/>
  <c r="I135" i="14" s="1"/>
  <c r="I136" i="14" s="1"/>
  <c r="I137" i="14" s="1"/>
  <c r="I138" i="14" s="1"/>
  <c r="I139" i="14" s="1"/>
  <c r="I140" i="14" s="1"/>
  <c r="I141" i="14" s="1"/>
  <c r="I142" i="14" s="1"/>
  <c r="I143" i="14" s="1"/>
  <c r="I144" i="14" s="1"/>
  <c r="I145" i="14" s="1"/>
  <c r="H126" i="14"/>
  <c r="K127" i="14"/>
  <c r="K128" i="14" s="1"/>
  <c r="K129" i="14" s="1"/>
  <c r="K130" i="14" s="1"/>
  <c r="K131" i="14" s="1"/>
  <c r="K132" i="14" s="1"/>
  <c r="K133" i="14" s="1"/>
  <c r="K134" i="14" s="1"/>
  <c r="K135" i="14" s="1"/>
  <c r="K136" i="14" s="1"/>
  <c r="K137" i="14" s="1"/>
  <c r="K138" i="14" s="1"/>
  <c r="K139" i="14" s="1"/>
  <c r="K140" i="14" s="1"/>
  <c r="K141" i="14" s="1"/>
  <c r="K142" i="14" s="1"/>
  <c r="K143" i="14" s="1"/>
  <c r="K144" i="14" s="1"/>
  <c r="K145" i="14" s="1"/>
  <c r="L127" i="14"/>
  <c r="L128" i="14" s="1"/>
  <c r="L129" i="14" s="1"/>
  <c r="L130" i="14" s="1"/>
  <c r="L131" i="14" s="1"/>
  <c r="L132" i="14" s="1"/>
  <c r="L133" i="14" s="1"/>
  <c r="L134" i="14" s="1"/>
  <c r="L135" i="14" s="1"/>
  <c r="L136" i="14" s="1"/>
  <c r="L137" i="14" s="1"/>
  <c r="L138" i="14" s="1"/>
  <c r="L139" i="14" s="1"/>
  <c r="L140" i="14" s="1"/>
  <c r="L141" i="14" s="1"/>
  <c r="L142" i="14" s="1"/>
  <c r="L143" i="14" s="1"/>
  <c r="L144" i="14" s="1"/>
  <c r="L145" i="14" s="1"/>
  <c r="M131" i="14"/>
  <c r="M132" i="14" s="1"/>
  <c r="M133" i="14" s="1"/>
  <c r="M134" i="14" s="1"/>
  <c r="M135" i="14" s="1"/>
  <c r="M136" i="14" s="1"/>
  <c r="M137" i="14" s="1"/>
  <c r="M138" i="14" s="1"/>
  <c r="M139" i="14" s="1"/>
  <c r="M140" i="14" s="1"/>
  <c r="M141" i="14" s="1"/>
  <c r="M142" i="14" s="1"/>
  <c r="M143" i="14" s="1"/>
  <c r="M144" i="14" s="1"/>
  <c r="M145" i="14" s="1"/>
  <c r="J127" i="14"/>
  <c r="N40" i="24" l="1"/>
  <c r="L57" i="21"/>
  <c r="R57" i="21" s="1"/>
  <c r="L65" i="21"/>
  <c r="M65" i="21"/>
  <c r="N65" i="21"/>
  <c r="K65" i="21"/>
  <c r="I49" i="21"/>
  <c r="L56" i="21"/>
  <c r="R56" i="21" s="1"/>
  <c r="L64" i="21"/>
  <c r="I48" i="21"/>
  <c r="N64" i="21"/>
  <c r="K64" i="21"/>
  <c r="M64" i="21"/>
  <c r="H127" i="14"/>
  <c r="H128" i="14" s="1"/>
  <c r="H129" i="14" s="1"/>
  <c r="H130" i="14" s="1"/>
  <c r="H131" i="14" s="1"/>
  <c r="H132" i="14" s="1"/>
  <c r="H133" i="14" s="1"/>
  <c r="H134" i="14" s="1"/>
  <c r="H135" i="14" s="1"/>
  <c r="H136" i="14" s="1"/>
  <c r="H137" i="14" s="1"/>
  <c r="H138" i="14" s="1"/>
  <c r="H139" i="14" s="1"/>
  <c r="H140" i="14" s="1"/>
  <c r="H141" i="14" s="1"/>
  <c r="H142" i="14" s="1"/>
  <c r="H143" i="14" s="1"/>
  <c r="H144" i="14" s="1"/>
  <c r="H145" i="14" s="1"/>
  <c r="Q127" i="14"/>
  <c r="J128" i="14"/>
  <c r="R65" i="21" l="1"/>
  <c r="R64" i="21"/>
  <c r="Q128" i="14"/>
  <c r="J129" i="14"/>
  <c r="Q129" i="14" l="1"/>
  <c r="J130" i="14"/>
  <c r="Q130" i="14" l="1"/>
  <c r="J131" i="14"/>
  <c r="Q131" i="14" l="1"/>
  <c r="J132" i="14"/>
  <c r="Q132" i="14" l="1"/>
  <c r="J133" i="14"/>
  <c r="Q133" i="14" l="1"/>
  <c r="J134" i="14"/>
  <c r="Q134" i="14" l="1"/>
  <c r="J135" i="14"/>
  <c r="Q135" i="14" l="1"/>
  <c r="J136" i="14"/>
  <c r="Q136" i="14" l="1"/>
  <c r="J137" i="14"/>
  <c r="Q137" i="14" l="1"/>
  <c r="J138" i="14"/>
  <c r="Q138" i="14" l="1"/>
  <c r="J139" i="14"/>
  <c r="Q139" i="14" l="1"/>
  <c r="J140" i="14"/>
  <c r="Q140" i="14" l="1"/>
  <c r="J141" i="14"/>
  <c r="Q141" i="14" l="1"/>
  <c r="J142" i="14"/>
  <c r="Q142" i="14" l="1"/>
  <c r="J143" i="14"/>
  <c r="Q143" i="14" l="1"/>
  <c r="J144" i="14"/>
  <c r="Q144" i="14" l="1"/>
  <c r="J145" i="14"/>
  <c r="Q145" i="14" s="1"/>
  <c r="D3" i="21" l="1"/>
  <c r="E3" i="21" s="1"/>
  <c r="G3" i="21"/>
  <c r="C6" i="24" l="1"/>
  <c r="D6" i="24" l="1"/>
  <c r="D4" i="21"/>
  <c r="E4" i="21" s="1"/>
  <c r="G4" i="21"/>
  <c r="G14" i="21" s="1"/>
  <c r="I13" i="21" s="1"/>
  <c r="I52" i="21" l="1"/>
  <c r="I56" i="21" s="1"/>
  <c r="I53" i="21" l="1"/>
  <c r="I57" i="21" s="1"/>
  <c r="M61" i="21" l="1"/>
  <c r="K61" i="21"/>
  <c r="Q61" i="21"/>
  <c r="O61" i="21"/>
  <c r="P61" i="21"/>
  <c r="N61" i="21"/>
  <c r="L61" i="21"/>
  <c r="N60" i="21"/>
  <c r="P60" i="21"/>
  <c r="M60" i="21"/>
  <c r="L60" i="21"/>
  <c r="O60" i="21"/>
  <c r="K60" i="21"/>
  <c r="K52" i="21" s="1"/>
  <c r="Q60" i="21"/>
  <c r="N52" i="21" l="1"/>
  <c r="P53" i="21"/>
  <c r="Q15" i="23" s="1"/>
  <c r="M52" i="21"/>
  <c r="N14" i="23" s="1"/>
  <c r="D14" i="23" s="1"/>
  <c r="L53" i="21"/>
  <c r="Q52" i="21"/>
  <c r="N53" i="21"/>
  <c r="O15" i="23" s="1"/>
  <c r="E15" i="23" s="1"/>
  <c r="O52" i="21"/>
  <c r="O53" i="21"/>
  <c r="L52" i="21"/>
  <c r="Q53" i="21"/>
  <c r="K53" i="21"/>
  <c r="P52" i="21"/>
  <c r="Q14" i="23" s="1"/>
  <c r="M53" i="21"/>
  <c r="N15" i="23" s="1"/>
  <c r="R60" i="21"/>
  <c r="S60" i="21" s="1"/>
  <c r="R61" i="21"/>
  <c r="S61" i="21" s="1"/>
  <c r="O14" i="23" l="1"/>
  <c r="E14" i="23" s="1"/>
  <c r="R14" i="23"/>
  <c r="R52" i="21"/>
  <c r="R15" i="23"/>
  <c r="G15" i="23"/>
  <c r="G14" i="23"/>
  <c r="D15" i="23"/>
  <c r="R53" i="21"/>
  <c r="S14" i="23" l="1"/>
  <c r="S15" i="23"/>
  <c r="N41" i="24"/>
  <c r="M41" i="24"/>
  <c r="I15" i="23"/>
  <c r="I14" i="23"/>
  <c r="N42" i="24" l="1"/>
  <c r="M42" i="24"/>
</calcChain>
</file>

<file path=xl/comments1.xml><?xml version="1.0" encoding="utf-8"?>
<comments xmlns="http://schemas.openxmlformats.org/spreadsheetml/2006/main">
  <authors>
    <author>Richard Bucknall</author>
  </authors>
  <commentList>
    <comment ref="C13" authorId="0" shapeId="0">
      <text>
        <r>
          <rPr>
            <b/>
            <sz val="9"/>
            <color indexed="81"/>
            <rFont val="Tahoma"/>
            <family val="2"/>
          </rPr>
          <t>Richard Bucknall:</t>
        </r>
        <r>
          <rPr>
            <sz val="9"/>
            <color indexed="81"/>
            <rFont val="Tahoma"/>
            <family val="2"/>
          </rPr>
          <t xml:space="preserve">
Adjusted for Streetlight LED conversion</t>
        </r>
      </text>
    </comment>
  </commentList>
</comments>
</file>

<file path=xl/comments2.xml><?xml version="1.0" encoding="utf-8"?>
<comments xmlns="http://schemas.openxmlformats.org/spreadsheetml/2006/main">
  <authors>
    <author>Richard Bucknall</author>
  </authors>
  <commentList>
    <comment ref="H13" authorId="0" shapeId="0">
      <text>
        <r>
          <rPr>
            <b/>
            <sz val="9"/>
            <color indexed="81"/>
            <rFont val="Tahoma"/>
            <family val="2"/>
          </rPr>
          <t>Richard Bucknall:</t>
        </r>
        <r>
          <rPr>
            <sz val="9"/>
            <color indexed="81"/>
            <rFont val="Tahoma"/>
            <family val="2"/>
          </rPr>
          <t xml:space="preserve">
New connections installed during LED project conversion in 2019</t>
        </r>
      </text>
    </comment>
  </commentList>
</comments>
</file>

<file path=xl/sharedStrings.xml><?xml version="1.0" encoding="utf-8"?>
<sst xmlns="http://schemas.openxmlformats.org/spreadsheetml/2006/main" count="1421" uniqueCount="223">
  <si>
    <t>Year</t>
  </si>
  <si>
    <t>Consumption Month</t>
  </si>
  <si>
    <t>Jan</t>
  </si>
  <si>
    <t>Feb</t>
  </si>
  <si>
    <t>Mar</t>
  </si>
  <si>
    <t>Apr</t>
  </si>
  <si>
    <t>May</t>
  </si>
  <si>
    <t>Jun</t>
  </si>
  <si>
    <t>Jul</t>
  </si>
  <si>
    <t>Aug</t>
  </si>
  <si>
    <t>Sep</t>
  </si>
  <si>
    <t>Oct</t>
  </si>
  <si>
    <t>Nov</t>
  </si>
  <si>
    <t>Dec</t>
  </si>
  <si>
    <t>Residential</t>
  </si>
  <si>
    <t>Heating Degree Day</t>
  </si>
  <si>
    <t># of Days in Month</t>
  </si>
  <si>
    <t># of Peak Hours</t>
  </si>
  <si>
    <t>Predicted Purchases</t>
  </si>
  <si>
    <t>Variance</t>
  </si>
  <si>
    <t>% Variance</t>
  </si>
  <si>
    <t>% Variance (Abs)</t>
  </si>
  <si>
    <t>SUMMARY OUTPUT</t>
  </si>
  <si>
    <t>Regression Statistics</t>
  </si>
  <si>
    <t>Multiple R</t>
  </si>
  <si>
    <t>R Square</t>
  </si>
  <si>
    <t>Adjusted R Square</t>
  </si>
  <si>
    <t>Standard Error</t>
  </si>
  <si>
    <t>Observations</t>
  </si>
  <si>
    <t>ANOVA</t>
  </si>
  <si>
    <t>Regression</t>
  </si>
  <si>
    <t>Residual</t>
  </si>
  <si>
    <t>Total</t>
  </si>
  <si>
    <t>Intercept</t>
  </si>
  <si>
    <t>df</t>
  </si>
  <si>
    <t>SS</t>
  </si>
  <si>
    <t>MS</t>
  </si>
  <si>
    <t>F</t>
  </si>
  <si>
    <t>Significance F</t>
  </si>
  <si>
    <t>Coefficients</t>
  </si>
  <si>
    <t>t Stat</t>
  </si>
  <si>
    <t>P-value</t>
  </si>
  <si>
    <t>Lower 95%</t>
  </si>
  <si>
    <t>Upper 95%</t>
  </si>
  <si>
    <t>Lower 95.0%</t>
  </si>
  <si>
    <t>Upper 95.0%</t>
  </si>
  <si>
    <t>Cooling Degree Day</t>
  </si>
  <si>
    <t>Metered kWh
Without Losses</t>
  </si>
  <si>
    <t>GS&lt;50kW</t>
  </si>
  <si>
    <t>Actual Metered kWh</t>
  </si>
  <si>
    <t>Forecast</t>
  </si>
  <si>
    <t>Mean Average Percentage Error (MAPE)</t>
  </si>
  <si>
    <t>Median</t>
  </si>
  <si>
    <t>Year over Year</t>
  </si>
  <si>
    <t>GS50-999kW</t>
  </si>
  <si>
    <t>GS1000-4999kW</t>
  </si>
  <si>
    <t>USL</t>
  </si>
  <si>
    <t>Sentinel</t>
  </si>
  <si>
    <t>StreetLights</t>
  </si>
  <si>
    <t>Total Accounts / Connections</t>
  </si>
  <si>
    <t>kW</t>
  </si>
  <si>
    <t>Transformer Allowance (kW)</t>
  </si>
  <si>
    <t>Total Demand</t>
  </si>
  <si>
    <t>Total Metered kWh without Losses</t>
  </si>
  <si>
    <t>Summary</t>
  </si>
  <si>
    <t>Annual Totals</t>
  </si>
  <si>
    <t>Annual Average</t>
  </si>
  <si>
    <t>YoY Change</t>
  </si>
  <si>
    <t>Spring Fall Flag</t>
  </si>
  <si>
    <t>Residential Customer Count</t>
  </si>
  <si>
    <t>GS50-999kW Customer Count</t>
  </si>
  <si>
    <t>GS1000-4999kW Customer Count</t>
  </si>
  <si>
    <t>USL Connections Count</t>
  </si>
  <si>
    <t>Sentinel Connections Count</t>
  </si>
  <si>
    <t>StreetLights Connections Count</t>
  </si>
  <si>
    <t>Method Used for Forecasting 2020 and 2021</t>
  </si>
  <si>
    <t>Actual</t>
  </si>
  <si>
    <t>CPI - Monthly
(Toronto, Ontario)</t>
  </si>
  <si>
    <t>Regional Employment</t>
  </si>
  <si>
    <t>10 yr Average</t>
  </si>
  <si>
    <t>Month Count</t>
  </si>
  <si>
    <t>Trend - 10 yr</t>
  </si>
  <si>
    <t>Total Customer Accounts / Connections</t>
  </si>
  <si>
    <t>2019 Count</t>
  </si>
  <si>
    <t>Sum</t>
  </si>
  <si>
    <t>Wholesale Purchases
(IESO) (kWh)</t>
  </si>
  <si>
    <t>Purchases</t>
  </si>
  <si>
    <t>Modelled Purchases</t>
  </si>
  <si>
    <t>Difference</t>
  </si>
  <si>
    <t>Diff %</t>
  </si>
  <si>
    <t>Loss Factor</t>
  </si>
  <si>
    <t>Total Billed</t>
  </si>
  <si>
    <t>Avg Loss Factor</t>
  </si>
  <si>
    <t>Customer Growth Rate</t>
  </si>
  <si>
    <t>Geomean</t>
  </si>
  <si>
    <t>kW Demand</t>
  </si>
  <si>
    <t>kWh Usage</t>
  </si>
  <si>
    <t>10 year Average</t>
  </si>
  <si>
    <t>5 year Average</t>
  </si>
  <si>
    <t>Usage Per Customer</t>
  </si>
  <si>
    <t>Usage Per Customer Change YoY</t>
  </si>
  <si>
    <t>Geomean - 5 years</t>
  </si>
  <si>
    <t>Geomean - 10 years</t>
  </si>
  <si>
    <t>Non Weather Corrected Forecast</t>
  </si>
  <si>
    <t>Weather Corrected Forecast</t>
  </si>
  <si>
    <t>Total Billed Forecast</t>
  </si>
  <si>
    <t>% Weather Sensitive</t>
  </si>
  <si>
    <t>Allocation of Weather Senstive Volume</t>
  </si>
  <si>
    <t>CDM</t>
  </si>
  <si>
    <t>% Difference</t>
  </si>
  <si>
    <t>CDM Purchase Adjustment</t>
  </si>
  <si>
    <t xml:space="preserve">Billed kWh </t>
  </si>
  <si>
    <t xml:space="preserve">  Customers</t>
  </si>
  <si>
    <t xml:space="preserve">  kWh</t>
  </si>
  <si>
    <t xml:space="preserve">  kW</t>
  </si>
  <si>
    <t xml:space="preserve">  Connections</t>
  </si>
  <si>
    <t xml:space="preserve">2010
Actual </t>
  </si>
  <si>
    <t xml:space="preserve">2011
Actual </t>
  </si>
  <si>
    <t xml:space="preserve">2012
Actual </t>
  </si>
  <si>
    <t xml:space="preserve">2013
Actual </t>
  </si>
  <si>
    <t xml:space="preserve">2014
Actual </t>
  </si>
  <si>
    <t xml:space="preserve">2015
Actual </t>
  </si>
  <si>
    <t xml:space="preserve">2016
Actual </t>
  </si>
  <si>
    <t xml:space="preserve">2017
Actual </t>
  </si>
  <si>
    <t xml:space="preserve">2018
Actual </t>
  </si>
  <si>
    <t xml:space="preserve">2019
Actual </t>
  </si>
  <si>
    <t xml:space="preserve">Residential </t>
  </si>
  <si>
    <t>General Service 
&lt; 50 kW</t>
  </si>
  <si>
    <t>General Service 
50 to 999 kW</t>
  </si>
  <si>
    <t>General Service 
1000 to 4,999 kW</t>
  </si>
  <si>
    <t>Street Lights</t>
  </si>
  <si>
    <t>Sentinel Lights</t>
  </si>
  <si>
    <t>2020 
Weather Normal</t>
  </si>
  <si>
    <t>Unmetered Scattered Load</t>
  </si>
  <si>
    <t xml:space="preserve">  Customer / Connections</t>
  </si>
  <si>
    <t>B</t>
  </si>
  <si>
    <t>C</t>
  </si>
  <si>
    <t>Generation</t>
  </si>
  <si>
    <t xml:space="preserve">Sensitive Customers </t>
  </si>
  <si>
    <t>Streetlights</t>
  </si>
  <si>
    <t>YoY change</t>
  </si>
  <si>
    <t># of customers</t>
  </si>
  <si>
    <t># of Connections</t>
  </si>
  <si>
    <t>GS&lt;50kW customer Count</t>
  </si>
  <si>
    <t>Trend Variable (Probe 2016 CoS)</t>
  </si>
  <si>
    <t>2021
Weather Normal</t>
  </si>
  <si>
    <t>%</t>
  </si>
  <si>
    <t>kWh</t>
  </si>
  <si>
    <t>CDM
(with Losses)</t>
  </si>
  <si>
    <t>Based on CDM Persistence</t>
  </si>
  <si>
    <t>Adjusted Wholesale (kWh)</t>
  </si>
  <si>
    <t>Wholesale Adjusted</t>
  </si>
  <si>
    <t>A</t>
  </si>
  <si>
    <t>Sensitive Customers</t>
  </si>
  <si>
    <t>kWh without Loss</t>
  </si>
  <si>
    <t>Month</t>
  </si>
  <si>
    <t xml:space="preserve">Days </t>
  </si>
  <si>
    <t>Hours of  LED On</t>
  </si>
  <si>
    <t>January</t>
  </si>
  <si>
    <t>February</t>
  </si>
  <si>
    <t>March</t>
  </si>
  <si>
    <t>April</t>
  </si>
  <si>
    <t>June</t>
  </si>
  <si>
    <t>July</t>
  </si>
  <si>
    <t>August</t>
  </si>
  <si>
    <t>September</t>
  </si>
  <si>
    <t>October</t>
  </si>
  <si>
    <t>November</t>
  </si>
  <si>
    <t>December</t>
  </si>
  <si>
    <t>https://www.timeanddate.com/sun/canada/toronto</t>
  </si>
  <si>
    <t>Holstein Streetlights</t>
  </si>
  <si>
    <t>Mount Forest Streetlights</t>
  </si>
  <si>
    <t>Arthur Streetlights</t>
  </si>
  <si>
    <t>Source for LED hours on:</t>
  </si>
  <si>
    <t>Holstein (based on Utilismart for 2019)</t>
  </si>
  <si>
    <t>Mount Forest (based on Utilismart for 2019)</t>
  </si>
  <si>
    <t>Arthur (based on Utilismart for 2019)</t>
  </si>
  <si>
    <t>Street Lights:  All After LED Conversion</t>
  </si>
  <si>
    <t>Street Lights:  2019</t>
  </si>
  <si>
    <t>Substituted</t>
  </si>
  <si>
    <t>CHECK</t>
  </si>
  <si>
    <t>Used 2019 averages - except Streetlights</t>
  </si>
  <si>
    <t>Variance (Abs)</t>
  </si>
  <si>
    <t>Heating Degree Day (HDD)</t>
  </si>
  <si>
    <t>Heating Degree Days</t>
  </si>
  <si>
    <t>10 - Year Average</t>
  </si>
  <si>
    <t>20 - Year Average</t>
  </si>
  <si>
    <t>20 Year Trend</t>
  </si>
  <si>
    <t>Cooling Degree Day (HDD)</t>
  </si>
  <si>
    <t>Cooling Degree Days</t>
  </si>
  <si>
    <t>20yr Trend (2000-2019)</t>
  </si>
  <si>
    <t xml:space="preserve">Predicted Purchases using 10yr average of HDD &amp; CDD </t>
  </si>
  <si>
    <t xml:space="preserve">Variance
20yr Trend of HDD &amp; CDD
less 10 yr average of HDD &amp; CDD </t>
  </si>
  <si>
    <t>Annual kWH Variance</t>
  </si>
  <si>
    <t>Actual Loss Factor</t>
  </si>
  <si>
    <t>Accounts</t>
  </si>
  <si>
    <t xml:space="preserve"> </t>
  </si>
  <si>
    <t>Rate Class</t>
  </si>
  <si>
    <t>Remove Streetlights usage (2019 Actuals pre-LED conversion)</t>
  </si>
  <si>
    <t>Predicted kWh Purchases (after CDM &amp; Streetlight LED conversion)</t>
  </si>
  <si>
    <t>Variance (kWh)
Predicted less Actual</t>
  </si>
  <si>
    <t>Gneral Service
&lt;50kW</t>
  </si>
  <si>
    <t>Gneral Service
50-999 kW</t>
  </si>
  <si>
    <t>Gneral Service
1,000-4,999 kW</t>
  </si>
  <si>
    <t>Connections</t>
  </si>
  <si>
    <t>Total Streetlights</t>
  </si>
  <si>
    <t>Light Type</t>
  </si>
  <si>
    <t>HPS</t>
  </si>
  <si>
    <t>LED</t>
  </si>
  <si>
    <t>Data</t>
  </si>
  <si>
    <t>D = A x B x C</t>
  </si>
  <si>
    <r>
      <t xml:space="preserve">kWh
</t>
    </r>
    <r>
      <rPr>
        <i/>
        <sz val="10"/>
        <color theme="1"/>
        <rFont val="Calibri"/>
        <family val="2"/>
      </rPr>
      <t>(without Loss)</t>
    </r>
  </si>
  <si>
    <t>Use 5 year average to reflect CDM activity which has reduced kW demand</t>
  </si>
  <si>
    <t>kW/kWh</t>
  </si>
  <si>
    <t>Bridge Year 2020</t>
  </si>
  <si>
    <t>Test Year 2021</t>
  </si>
  <si>
    <t>Add-in Streetlights LED conversion</t>
  </si>
  <si>
    <t>Actual kWh Purchases</t>
  </si>
  <si>
    <t>Predicted kWh Purchases</t>
  </si>
  <si>
    <t>WNP - Load Forecast</t>
  </si>
  <si>
    <t>Adjusted + CDM</t>
  </si>
  <si>
    <t>AdjustedCDM</t>
  </si>
  <si>
    <t>Re</t>
  </si>
</sst>
</file>

<file path=xl/styles.xml><?xml version="1.0" encoding="utf-8"?>
<styleSheet xmlns="http://schemas.openxmlformats.org/spreadsheetml/2006/main" xmlns:mc="http://schemas.openxmlformats.org/markup-compatibility/2006" xmlns:x14ac="http://schemas.microsoft.com/office/spreadsheetml/2009/9/ac" mc:Ignorable="x14ac">
  <numFmts count="12">
    <numFmt numFmtId="44" formatCode="_(&quot;$&quot;* #,##0.00_);_(&quot;$&quot;* \(#,##0.00\);_(&quot;$&quot;* &quot;-&quot;??_);_(@_)"/>
    <numFmt numFmtId="43" formatCode="_(* #,##0.00_);_(* \(#,##0.00\);_(* &quot;-&quot;??_);_(@_)"/>
    <numFmt numFmtId="164" formatCode="_-* #,##0.00_-;\-* #,##0.00_-;_-* &quot;-&quot;??_-;_-@_-"/>
    <numFmt numFmtId="165" formatCode="0.0%"/>
    <numFmt numFmtId="166" formatCode="_-* #,##0.00_-;\-* #,##0.00_-;_-* \-??_-;_-@_-"/>
    <numFmt numFmtId="167" formatCode="#,##0.0"/>
    <numFmt numFmtId="168" formatCode="0.0"/>
    <numFmt numFmtId="169" formatCode="0.0000"/>
    <numFmt numFmtId="170" formatCode="0.0000%"/>
    <numFmt numFmtId="171" formatCode="_(* #,##0_);_(* \(#,##0\);_(* &quot;-&quot;??_);_(@_)"/>
    <numFmt numFmtId="172" formatCode="0.000"/>
    <numFmt numFmtId="173" formatCode="0.000%"/>
  </numFmts>
  <fonts count="60">
    <font>
      <sz val="12"/>
      <color theme="1"/>
      <name val="Calibri"/>
      <family val="2"/>
    </font>
    <font>
      <sz val="11"/>
      <color theme="1"/>
      <name val="Calibri"/>
      <family val="2"/>
    </font>
    <font>
      <sz val="11"/>
      <color theme="1"/>
      <name val="Calibri"/>
      <family val="2"/>
    </font>
    <font>
      <sz val="11"/>
      <color theme="1"/>
      <name val="Calibri"/>
      <family val="2"/>
    </font>
    <font>
      <sz val="11"/>
      <color theme="1"/>
      <name val="Calibri"/>
      <family val="2"/>
    </font>
    <font>
      <sz val="11"/>
      <color theme="1"/>
      <name val="Calibri"/>
      <family val="2"/>
    </font>
    <font>
      <sz val="11"/>
      <color theme="1"/>
      <name val="Calibri"/>
      <family val="2"/>
    </font>
    <font>
      <sz val="11"/>
      <color theme="1"/>
      <name val="Calibri"/>
      <family val="2"/>
    </font>
    <font>
      <sz val="11"/>
      <color theme="1"/>
      <name val="Calibri"/>
      <family val="2"/>
    </font>
    <font>
      <sz val="11"/>
      <color theme="1"/>
      <name val="Calibri"/>
      <family val="2"/>
    </font>
    <font>
      <sz val="11"/>
      <color theme="1"/>
      <name val="Calibri"/>
      <family val="2"/>
    </font>
    <font>
      <sz val="11"/>
      <color theme="1"/>
      <name val="Calibri"/>
      <family val="2"/>
    </font>
    <font>
      <sz val="11"/>
      <color theme="1"/>
      <name val="Calibri"/>
      <family val="2"/>
    </font>
    <font>
      <sz val="11"/>
      <color theme="1"/>
      <name val="Calibri"/>
      <family val="2"/>
    </font>
    <font>
      <sz val="11"/>
      <color theme="1"/>
      <name val="Calibri"/>
      <family val="2"/>
    </font>
    <font>
      <sz val="11"/>
      <color theme="1"/>
      <name val="Calibri"/>
      <family val="2"/>
    </font>
    <font>
      <sz val="12"/>
      <color theme="1"/>
      <name val="Calibri"/>
      <family val="2"/>
    </font>
    <font>
      <sz val="9"/>
      <color indexed="81"/>
      <name val="Tahoma"/>
      <family val="2"/>
    </font>
    <font>
      <b/>
      <sz val="9"/>
      <color indexed="81"/>
      <name val="Tahoma"/>
      <family val="2"/>
    </font>
    <font>
      <sz val="10"/>
      <name val="Mangal"/>
      <family val="2"/>
      <charset val="1"/>
    </font>
    <font>
      <sz val="10"/>
      <name val="Arial"/>
      <family val="2"/>
      <charset val="1"/>
    </font>
    <font>
      <sz val="11"/>
      <color theme="1"/>
      <name val="Calibri"/>
      <family val="2"/>
    </font>
    <font>
      <b/>
      <sz val="11"/>
      <color theme="1"/>
      <name val="Calibri"/>
      <family val="2"/>
    </font>
    <font>
      <sz val="10"/>
      <name val="Times New Roman"/>
      <family val="1"/>
    </font>
    <font>
      <sz val="10"/>
      <name val="Arial"/>
      <family val="2"/>
    </font>
    <font>
      <u/>
      <sz val="11"/>
      <color theme="10"/>
      <name val="Calibri"/>
      <family val="2"/>
      <scheme val="minor"/>
    </font>
    <font>
      <u/>
      <sz val="10"/>
      <color theme="10"/>
      <name val="Times New Roman"/>
      <family val="1"/>
    </font>
    <font>
      <u/>
      <sz val="10"/>
      <color theme="10"/>
      <name val="Arial"/>
      <family val="2"/>
    </font>
    <font>
      <sz val="11"/>
      <color rgb="FF0033CC"/>
      <name val="Calibri"/>
      <family val="2"/>
    </font>
    <font>
      <sz val="11"/>
      <color theme="0" tint="-0.499984740745262"/>
      <name val="Calibri"/>
      <family val="2"/>
    </font>
    <font>
      <i/>
      <sz val="12"/>
      <color theme="1"/>
      <name val="Calibri"/>
      <family val="2"/>
    </font>
    <font>
      <u/>
      <sz val="10"/>
      <color theme="10"/>
      <name val="Calibri"/>
      <family val="2"/>
      <scheme val="minor"/>
    </font>
    <font>
      <sz val="10"/>
      <color theme="1"/>
      <name val="Calibri"/>
      <family val="2"/>
      <scheme val="minor"/>
    </font>
    <font>
      <sz val="10"/>
      <name val="Calibri"/>
      <family val="2"/>
      <scheme val="minor"/>
    </font>
    <font>
      <sz val="11"/>
      <color theme="0" tint="-0.34998626667073579"/>
      <name val="Calibri"/>
      <family val="2"/>
    </font>
    <font>
      <sz val="12"/>
      <color theme="1"/>
      <name val="Calibri"/>
      <family val="2"/>
      <scheme val="minor"/>
    </font>
    <font>
      <b/>
      <sz val="12"/>
      <name val="Calibri"/>
      <family val="2"/>
      <scheme val="minor"/>
    </font>
    <font>
      <b/>
      <sz val="12"/>
      <color rgb="FF0000FF"/>
      <name val="Calibri"/>
      <family val="2"/>
      <scheme val="minor"/>
    </font>
    <font>
      <sz val="12"/>
      <color rgb="FFFF0000"/>
      <name val="Calibri"/>
      <family val="2"/>
      <scheme val="minor"/>
    </font>
    <font>
      <sz val="12"/>
      <name val="Calibri"/>
      <family val="2"/>
      <scheme val="minor"/>
    </font>
    <font>
      <sz val="12"/>
      <color rgb="FF0000FF"/>
      <name val="Calibri"/>
      <family val="2"/>
      <scheme val="minor"/>
    </font>
    <font>
      <b/>
      <sz val="14"/>
      <color theme="1"/>
      <name val="Calibri"/>
      <family val="2"/>
      <scheme val="minor"/>
    </font>
    <font>
      <b/>
      <sz val="12"/>
      <color theme="1"/>
      <name val="Calibri"/>
      <family val="2"/>
    </font>
    <font>
      <sz val="11"/>
      <color theme="1"/>
      <name val="Calibri"/>
      <family val="2"/>
      <scheme val="minor"/>
    </font>
    <font>
      <sz val="11"/>
      <color rgb="FF000000"/>
      <name val="Calibri"/>
      <family val="2"/>
    </font>
    <font>
      <sz val="11"/>
      <name val="Calibri"/>
      <family val="2"/>
    </font>
    <font>
      <b/>
      <sz val="11"/>
      <color theme="1"/>
      <name val="Calibri"/>
      <family val="2"/>
      <scheme val="minor"/>
    </font>
    <font>
      <sz val="10"/>
      <color theme="1"/>
      <name val="Times New Roman"/>
      <family val="1"/>
    </font>
    <font>
      <sz val="11.5"/>
      <color rgb="FF000000"/>
      <name val="Calibri"/>
      <family val="2"/>
    </font>
    <font>
      <b/>
      <sz val="10"/>
      <color theme="1"/>
      <name val="Calibri"/>
      <family val="2"/>
    </font>
    <font>
      <b/>
      <sz val="10"/>
      <color theme="0" tint="-0.34998626667073579"/>
      <name val="Calibri"/>
      <family val="2"/>
    </font>
    <font>
      <sz val="10"/>
      <color theme="0" tint="-0.34998626667073579"/>
      <name val="Calibri"/>
      <family val="2"/>
    </font>
    <font>
      <b/>
      <sz val="11"/>
      <name val="Calibri"/>
      <family val="2"/>
      <scheme val="minor"/>
    </font>
    <font>
      <sz val="11"/>
      <color rgb="FF0000FF"/>
      <name val="Calibri"/>
      <family val="2"/>
      <scheme val="minor"/>
    </font>
    <font>
      <sz val="11"/>
      <color rgb="FF0033CC"/>
      <name val="Calibri"/>
      <family val="2"/>
      <scheme val="minor"/>
    </font>
    <font>
      <i/>
      <sz val="12"/>
      <color rgb="FF3333CC"/>
      <name val="Calibri"/>
      <family val="2"/>
      <scheme val="minor"/>
    </font>
    <font>
      <i/>
      <sz val="11"/>
      <color theme="1"/>
      <name val="Calibri"/>
      <family val="2"/>
    </font>
    <font>
      <i/>
      <sz val="11"/>
      <color rgb="FF0033CC"/>
      <name val="Calibri"/>
      <family val="2"/>
    </font>
    <font>
      <sz val="10"/>
      <color rgb="FF0033CC"/>
      <name val="Calibri"/>
      <family val="2"/>
    </font>
    <font>
      <i/>
      <sz val="10"/>
      <color theme="1"/>
      <name val="Calibri"/>
      <family val="2"/>
    </font>
  </fonts>
  <fills count="9">
    <fill>
      <patternFill patternType="none"/>
    </fill>
    <fill>
      <patternFill patternType="gray125"/>
    </fill>
    <fill>
      <patternFill patternType="solid">
        <fgColor theme="0" tint="-0.14999847407452621"/>
        <bgColor indexed="64"/>
      </patternFill>
    </fill>
    <fill>
      <patternFill patternType="solid">
        <fgColor theme="9" tint="0.79998168889431442"/>
        <bgColor indexed="64"/>
      </patternFill>
    </fill>
    <fill>
      <patternFill patternType="solid">
        <fgColor theme="0"/>
        <bgColor indexed="64"/>
      </patternFill>
    </fill>
    <fill>
      <patternFill patternType="solid">
        <fgColor theme="0" tint="-0.249977111117893"/>
        <bgColor indexed="64"/>
      </patternFill>
    </fill>
    <fill>
      <patternFill patternType="solid">
        <fgColor theme="4" tint="0.79998168889431442"/>
        <bgColor indexed="64"/>
      </patternFill>
    </fill>
    <fill>
      <patternFill patternType="solid">
        <fgColor rgb="FFCCCCFF"/>
        <bgColor indexed="64"/>
      </patternFill>
    </fill>
    <fill>
      <patternFill patternType="solid">
        <fgColor theme="7" tint="0.59999389629810485"/>
        <bgColor indexed="64"/>
      </patternFill>
    </fill>
  </fills>
  <borders count="43">
    <border>
      <left/>
      <right/>
      <top/>
      <bottom/>
      <diagonal/>
    </border>
    <border>
      <left/>
      <right/>
      <top/>
      <bottom style="medium">
        <color indexed="64"/>
      </bottom>
      <diagonal/>
    </border>
    <border>
      <left/>
      <right/>
      <top style="medium">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bottom/>
      <diagonal/>
    </border>
    <border>
      <left/>
      <right style="thin">
        <color theme="0" tint="-0.249977111117893"/>
      </right>
      <top/>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medium">
        <color indexed="64"/>
      </left>
      <right style="thin">
        <color theme="0" tint="-0.34998626667073579"/>
      </right>
      <top style="medium">
        <color indexed="64"/>
      </top>
      <bottom style="thin">
        <color theme="0" tint="-0.34998626667073579"/>
      </bottom>
      <diagonal/>
    </border>
    <border>
      <left style="thin">
        <color theme="0" tint="-0.34998626667073579"/>
      </left>
      <right style="thin">
        <color theme="0" tint="-0.34998626667073579"/>
      </right>
      <top style="medium">
        <color indexed="64"/>
      </top>
      <bottom style="thin">
        <color theme="0" tint="-0.34998626667073579"/>
      </bottom>
      <diagonal/>
    </border>
    <border>
      <left style="thin">
        <color theme="0" tint="-0.34998626667073579"/>
      </left>
      <right style="medium">
        <color indexed="64"/>
      </right>
      <top style="medium">
        <color indexed="64"/>
      </top>
      <bottom style="thin">
        <color theme="0" tint="-0.34998626667073579"/>
      </bottom>
      <diagonal/>
    </border>
    <border>
      <left style="medium">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indexed="64"/>
      </right>
      <top style="thin">
        <color theme="0" tint="-0.34998626667073579"/>
      </top>
      <bottom style="thin">
        <color theme="0" tint="-0.34998626667073579"/>
      </bottom>
      <diagonal/>
    </border>
    <border>
      <left style="medium">
        <color indexed="64"/>
      </left>
      <right style="thin">
        <color theme="0" tint="-0.34998626667073579"/>
      </right>
      <top style="thin">
        <color theme="0" tint="-0.34998626667073579"/>
      </top>
      <bottom style="medium">
        <color indexed="64"/>
      </bottom>
      <diagonal/>
    </border>
    <border>
      <left style="thin">
        <color theme="0" tint="-0.34998626667073579"/>
      </left>
      <right style="thin">
        <color theme="0" tint="-0.34998626667073579"/>
      </right>
      <top style="thin">
        <color theme="0" tint="-0.34998626667073579"/>
      </top>
      <bottom style="medium">
        <color indexed="64"/>
      </bottom>
      <diagonal/>
    </border>
    <border>
      <left style="thin">
        <color theme="0" tint="-0.34998626667073579"/>
      </left>
      <right style="medium">
        <color indexed="64"/>
      </right>
      <top style="thin">
        <color theme="0" tint="-0.34998626667073579"/>
      </top>
      <bottom style="medium">
        <color indexed="64"/>
      </bottom>
      <diagonal/>
    </border>
  </borders>
  <cellStyleXfs count="26">
    <xf numFmtId="0" fontId="0" fillId="0" borderId="0"/>
    <xf numFmtId="9" fontId="16" fillId="0" borderId="0" applyFont="0" applyFill="0" applyBorder="0" applyAlignment="0" applyProtection="0"/>
    <xf numFmtId="166" fontId="19" fillId="0" borderId="0" applyFill="0" applyBorder="0" applyAlignment="0" applyProtection="0"/>
    <xf numFmtId="0" fontId="20" fillId="0" borderId="0"/>
    <xf numFmtId="0" fontId="23" fillId="0" borderId="0"/>
    <xf numFmtId="0" fontId="23" fillId="0" borderId="0"/>
    <xf numFmtId="0" fontId="23" fillId="0" borderId="0"/>
    <xf numFmtId="0" fontId="25" fillId="0" borderId="0" applyNumberFormat="0" applyFill="0" applyBorder="0" applyAlignment="0" applyProtection="0"/>
    <xf numFmtId="0" fontId="23" fillId="0" borderId="0"/>
    <xf numFmtId="0" fontId="26" fillId="0" borderId="0" applyNumberFormat="0" applyFill="0" applyBorder="0" applyAlignment="0" applyProtection="0"/>
    <xf numFmtId="0" fontId="24" fillId="0" borderId="0"/>
    <xf numFmtId="0" fontId="27" fillId="0" borderId="0" applyNumberFormat="0" applyFill="0" applyBorder="0" applyAlignment="0" applyProtection="0"/>
    <xf numFmtId="43" fontId="16" fillId="0" borderId="0" applyFont="0" applyFill="0" applyBorder="0" applyAlignment="0" applyProtection="0"/>
    <xf numFmtId="0" fontId="24" fillId="0" borderId="0"/>
    <xf numFmtId="0" fontId="43" fillId="0" borderId="0"/>
    <xf numFmtId="164" fontId="43" fillId="0" borderId="0" applyFont="0" applyFill="0" applyBorder="0" applyAlignment="0" applyProtection="0"/>
    <xf numFmtId="9" fontId="43" fillId="0" borderId="0" applyFont="0" applyFill="0" applyBorder="0" applyAlignment="0" applyProtection="0"/>
    <xf numFmtId="9" fontId="24" fillId="0" borderId="0" applyFont="0" applyFill="0" applyBorder="0" applyAlignment="0" applyProtection="0"/>
    <xf numFmtId="43" fontId="24" fillId="0" borderId="0" applyFont="0" applyFill="0" applyBorder="0" applyAlignment="0" applyProtection="0"/>
    <xf numFmtId="44" fontId="24" fillId="0" borderId="0" applyFont="0" applyFill="0" applyBorder="0" applyAlignment="0" applyProtection="0"/>
    <xf numFmtId="0" fontId="24" fillId="0" borderId="0"/>
    <xf numFmtId="9" fontId="43" fillId="0" borderId="0" applyFont="0" applyFill="0" applyBorder="0" applyAlignment="0" applyProtection="0"/>
    <xf numFmtId="0" fontId="24" fillId="0" borderId="0"/>
    <xf numFmtId="43" fontId="43" fillId="0" borderId="0" applyFont="0" applyFill="0" applyBorder="0" applyAlignment="0" applyProtection="0"/>
    <xf numFmtId="0" fontId="1" fillId="0" borderId="0"/>
    <xf numFmtId="9" fontId="1" fillId="0" borderId="0" applyFont="0" applyFill="0" applyBorder="0" applyAlignment="0" applyProtection="0"/>
  </cellStyleXfs>
  <cellXfs count="388">
    <xf numFmtId="0" fontId="0" fillId="0" borderId="0" xfId="0"/>
    <xf numFmtId="0" fontId="21" fillId="0" borderId="0" xfId="0" applyFont="1"/>
    <xf numFmtId="0" fontId="21" fillId="0" borderId="0" xfId="0" applyFont="1" applyAlignment="1">
      <alignment horizontal="center" vertical="center"/>
    </xf>
    <xf numFmtId="3" fontId="22" fillId="0" borderId="0" xfId="0" applyNumberFormat="1" applyFont="1" applyAlignment="1">
      <alignment horizontal="center" vertical="center"/>
    </xf>
    <xf numFmtId="0" fontId="21" fillId="0" borderId="0" xfId="0" applyFont="1" applyAlignment="1">
      <alignment vertical="center"/>
    </xf>
    <xf numFmtId="0" fontId="22" fillId="0" borderId="0" xfId="0" applyFont="1" applyAlignment="1">
      <alignment horizontal="center" vertical="center" wrapText="1"/>
    </xf>
    <xf numFmtId="0" fontId="21" fillId="0" borderId="0" xfId="0" applyFont="1" applyAlignment="1">
      <alignment horizontal="center" vertical="center" wrapText="1"/>
    </xf>
    <xf numFmtId="3" fontId="21" fillId="0" borderId="0" xfId="0" applyNumberFormat="1" applyFont="1" applyAlignment="1">
      <alignment horizontal="center" vertical="center"/>
    </xf>
    <xf numFmtId="4" fontId="21" fillId="0" borderId="0" xfId="0" applyNumberFormat="1" applyFont="1" applyAlignment="1">
      <alignment vertical="center"/>
    </xf>
    <xf numFmtId="4" fontId="21" fillId="0" borderId="0" xfId="0" applyNumberFormat="1" applyFont="1" applyAlignment="1">
      <alignment horizontal="center"/>
    </xf>
    <xf numFmtId="3" fontId="21" fillId="0" borderId="0" xfId="0" applyNumberFormat="1" applyFont="1" applyAlignment="1">
      <alignment horizontal="center" vertical="center" wrapText="1"/>
    </xf>
    <xf numFmtId="0" fontId="21" fillId="0" borderId="0" xfId="0" applyFont="1" applyAlignment="1">
      <alignment horizontal="center"/>
    </xf>
    <xf numFmtId="3" fontId="21" fillId="0" borderId="0" xfId="0" applyNumberFormat="1" applyFont="1" applyAlignment="1">
      <alignment horizontal="center"/>
    </xf>
    <xf numFmtId="3" fontId="21" fillId="0" borderId="0" xfId="0" applyNumberFormat="1" applyFont="1" applyFill="1" applyAlignment="1">
      <alignment horizontal="center"/>
    </xf>
    <xf numFmtId="0" fontId="22" fillId="0" borderId="0" xfId="0" applyFont="1" applyAlignment="1">
      <alignment horizontal="left" vertical="center"/>
    </xf>
    <xf numFmtId="4" fontId="21" fillId="0" borderId="0" xfId="0" applyNumberFormat="1" applyFont="1" applyAlignment="1">
      <alignment horizontal="center" vertical="center"/>
    </xf>
    <xf numFmtId="167" fontId="21" fillId="0" borderId="0" xfId="0" applyNumberFormat="1" applyFont="1" applyAlignment="1">
      <alignment vertical="center"/>
    </xf>
    <xf numFmtId="10" fontId="21" fillId="0" borderId="0" xfId="1" applyNumberFormat="1" applyFont="1" applyAlignment="1">
      <alignment horizontal="center" vertical="center"/>
    </xf>
    <xf numFmtId="3" fontId="21" fillId="2" borderId="0" xfId="0" applyNumberFormat="1" applyFont="1" applyFill="1" applyAlignment="1">
      <alignment horizontal="center" vertical="center"/>
    </xf>
    <xf numFmtId="0" fontId="28" fillId="0" borderId="3" xfId="0" applyFont="1" applyBorder="1" applyAlignment="1">
      <alignment horizontal="center" vertical="center"/>
    </xf>
    <xf numFmtId="0" fontId="28" fillId="0" borderId="0" xfId="0" applyFont="1" applyAlignment="1">
      <alignment horizontal="center" vertical="center"/>
    </xf>
    <xf numFmtId="0" fontId="29" fillId="0" borderId="0" xfId="0" applyFont="1" applyAlignment="1">
      <alignment horizontal="center" vertical="center"/>
    </xf>
    <xf numFmtId="0" fontId="21" fillId="2" borderId="0" xfId="0" applyFont="1" applyFill="1" applyAlignment="1">
      <alignment horizontal="center" vertical="center"/>
    </xf>
    <xf numFmtId="4" fontId="21" fillId="2" borderId="0" xfId="0" applyNumberFormat="1" applyFont="1" applyFill="1" applyAlignment="1">
      <alignment horizontal="center" vertical="center"/>
    </xf>
    <xf numFmtId="0" fontId="21" fillId="2" borderId="0" xfId="0" applyFont="1" applyFill="1" applyAlignment="1">
      <alignment horizontal="center"/>
    </xf>
    <xf numFmtId="0" fontId="21" fillId="2" borderId="6" xfId="0" applyFont="1" applyFill="1" applyBorder="1" applyAlignment="1">
      <alignment horizontal="center" vertical="center"/>
    </xf>
    <xf numFmtId="4" fontId="21" fillId="2" borderId="6" xfId="0" applyNumberFormat="1" applyFont="1" applyFill="1" applyBorder="1" applyAlignment="1">
      <alignment horizontal="center" vertical="center"/>
    </xf>
    <xf numFmtId="0" fontId="21" fillId="2" borderId="6" xfId="0" applyFont="1" applyFill="1" applyBorder="1" applyAlignment="1">
      <alignment horizontal="center"/>
    </xf>
    <xf numFmtId="3" fontId="21" fillId="2" borderId="6" xfId="0" applyNumberFormat="1" applyFont="1" applyFill="1" applyBorder="1" applyAlignment="1">
      <alignment horizontal="center" vertical="center"/>
    </xf>
    <xf numFmtId="0" fontId="21" fillId="0" borderId="6" xfId="0" applyFont="1" applyBorder="1" applyAlignment="1">
      <alignment vertical="center"/>
    </xf>
    <xf numFmtId="0" fontId="29" fillId="0" borderId="6" xfId="0" applyFont="1" applyBorder="1" applyAlignment="1">
      <alignment horizontal="center" vertical="center"/>
    </xf>
    <xf numFmtId="167" fontId="21" fillId="2" borderId="6" xfId="0" applyNumberFormat="1" applyFont="1" applyFill="1" applyBorder="1" applyAlignment="1">
      <alignment horizontal="center" vertical="center"/>
    </xf>
    <xf numFmtId="167" fontId="21" fillId="2" borderId="0" xfId="0" applyNumberFormat="1" applyFont="1" applyFill="1" applyAlignment="1">
      <alignment horizontal="center" vertical="center"/>
    </xf>
    <xf numFmtId="168" fontId="21" fillId="0" borderId="0" xfId="0" applyNumberFormat="1" applyFont="1" applyAlignment="1">
      <alignment horizontal="center" vertical="center"/>
    </xf>
    <xf numFmtId="168" fontId="21" fillId="2" borderId="6" xfId="0" applyNumberFormat="1" applyFont="1" applyFill="1" applyBorder="1" applyAlignment="1">
      <alignment horizontal="center" vertical="center"/>
    </xf>
    <xf numFmtId="168" fontId="21" fillId="2" borderId="0" xfId="0" applyNumberFormat="1" applyFont="1" applyFill="1" applyAlignment="1">
      <alignment horizontal="center" vertical="center"/>
    </xf>
    <xf numFmtId="0" fontId="14" fillId="0" borderId="0" xfId="0" applyFont="1"/>
    <xf numFmtId="0" fontId="14" fillId="0" borderId="0" xfId="0" applyFont="1" applyAlignment="1">
      <alignment horizontal="center" vertical="center" wrapText="1"/>
    </xf>
    <xf numFmtId="0" fontId="14" fillId="0" borderId="0" xfId="0" applyFont="1" applyAlignment="1">
      <alignment horizontal="center"/>
    </xf>
    <xf numFmtId="3" fontId="14" fillId="0" borderId="0" xfId="0" applyNumberFormat="1" applyFont="1" applyAlignment="1">
      <alignment horizontal="center" vertical="center" wrapText="1"/>
    </xf>
    <xf numFmtId="3" fontId="14" fillId="0" borderId="0" xfId="0" applyNumberFormat="1" applyFont="1" applyAlignment="1">
      <alignment horizontal="center" vertical="center"/>
    </xf>
    <xf numFmtId="0" fontId="21" fillId="0" borderId="0" xfId="0" applyFont="1" applyAlignment="1">
      <alignment horizontal="center" vertical="top" wrapText="1"/>
    </xf>
    <xf numFmtId="0" fontId="15" fillId="0" borderId="0" xfId="0" applyFont="1" applyAlignment="1">
      <alignment horizontal="center" vertical="top" wrapText="1"/>
    </xf>
    <xf numFmtId="0" fontId="29" fillId="0" borderId="0" xfId="0" applyFont="1" applyAlignment="1">
      <alignment horizontal="center" vertical="top" wrapText="1"/>
    </xf>
    <xf numFmtId="0" fontId="14" fillId="0" borderId="0" xfId="0" applyFont="1" applyAlignment="1">
      <alignment vertical="center"/>
    </xf>
    <xf numFmtId="0" fontId="14" fillId="0" borderId="0" xfId="0" applyFont="1" applyAlignment="1">
      <alignment horizontal="center" vertical="center"/>
    </xf>
    <xf numFmtId="165" fontId="14" fillId="0" borderId="0" xfId="1" applyNumberFormat="1" applyFont="1" applyAlignment="1">
      <alignment horizontal="center" vertical="center"/>
    </xf>
    <xf numFmtId="3" fontId="14" fillId="0" borderId="0" xfId="0" applyNumberFormat="1" applyFont="1" applyAlignment="1">
      <alignment vertical="center"/>
    </xf>
    <xf numFmtId="0" fontId="14" fillId="0" borderId="3" xfId="0" applyFont="1" applyBorder="1" applyAlignment="1">
      <alignment vertical="center"/>
    </xf>
    <xf numFmtId="3" fontId="14" fillId="0" borderId="3" xfId="0" applyNumberFormat="1" applyFont="1" applyBorder="1" applyAlignment="1">
      <alignment horizontal="center" vertical="center"/>
    </xf>
    <xf numFmtId="165" fontId="14" fillId="0" borderId="3" xfId="1" applyNumberFormat="1" applyFont="1" applyBorder="1" applyAlignment="1">
      <alignment horizontal="center" vertical="center"/>
    </xf>
    <xf numFmtId="3" fontId="14" fillId="0" borderId="3" xfId="0" applyNumberFormat="1" applyFont="1" applyBorder="1" applyAlignment="1">
      <alignment vertical="center"/>
    </xf>
    <xf numFmtId="3" fontId="14" fillId="0" borderId="0" xfId="0" applyNumberFormat="1" applyFont="1" applyAlignment="1">
      <alignment horizontal="center"/>
    </xf>
    <xf numFmtId="3" fontId="14" fillId="0" borderId="8" xfId="0" applyNumberFormat="1" applyFont="1" applyBorder="1"/>
    <xf numFmtId="2" fontId="14" fillId="0" borderId="0" xfId="0" applyNumberFormat="1" applyFont="1" applyAlignment="1">
      <alignment horizontal="center"/>
    </xf>
    <xf numFmtId="0" fontId="22" fillId="0" borderId="0" xfId="0" applyFont="1"/>
    <xf numFmtId="10" fontId="14" fillId="0" borderId="0" xfId="1" applyNumberFormat="1" applyFont="1" applyAlignment="1">
      <alignment horizontal="center"/>
    </xf>
    <xf numFmtId="0" fontId="14" fillId="3" borderId="6" xfId="0" applyFont="1" applyFill="1" applyBorder="1"/>
    <xf numFmtId="3" fontId="14" fillId="3" borderId="5" xfId="0" applyNumberFormat="1" applyFont="1" applyFill="1" applyBorder="1"/>
    <xf numFmtId="0" fontId="14" fillId="3" borderId="0" xfId="0" applyFont="1" applyFill="1"/>
    <xf numFmtId="3" fontId="14" fillId="3" borderId="8" xfId="0" applyNumberFormat="1" applyFont="1" applyFill="1" applyBorder="1"/>
    <xf numFmtId="3" fontId="14" fillId="3" borderId="6" xfId="0" applyNumberFormat="1" applyFont="1" applyFill="1" applyBorder="1" applyAlignment="1">
      <alignment horizontal="center"/>
    </xf>
    <xf numFmtId="3" fontId="14" fillId="3" borderId="0" xfId="0" applyNumberFormat="1" applyFont="1" applyFill="1" applyBorder="1" applyAlignment="1">
      <alignment horizontal="center"/>
    </xf>
    <xf numFmtId="0" fontId="14" fillId="0" borderId="8" xfId="0" applyFont="1" applyBorder="1" applyAlignment="1">
      <alignment horizontal="center"/>
    </xf>
    <xf numFmtId="0" fontId="14" fillId="0" borderId="8" xfId="0" applyFont="1" applyBorder="1" applyAlignment="1">
      <alignment horizontal="center" vertical="center"/>
    </xf>
    <xf numFmtId="3" fontId="14" fillId="5" borderId="0" xfId="0" applyNumberFormat="1" applyFont="1" applyFill="1" applyAlignment="1">
      <alignment horizontal="center" vertical="center"/>
    </xf>
    <xf numFmtId="3" fontId="14" fillId="0" borderId="8" xfId="0" applyNumberFormat="1" applyFont="1" applyBorder="1" applyAlignment="1">
      <alignment vertical="center"/>
    </xf>
    <xf numFmtId="0" fontId="14" fillId="3" borderId="6" xfId="0" applyFont="1" applyFill="1" applyBorder="1" applyAlignment="1">
      <alignment vertical="center"/>
    </xf>
    <xf numFmtId="3" fontId="14" fillId="3" borderId="6" xfId="0" applyNumberFormat="1" applyFont="1" applyFill="1" applyBorder="1" applyAlignment="1">
      <alignment horizontal="center" vertical="center"/>
    </xf>
    <xf numFmtId="3" fontId="14" fillId="3" borderId="5" xfId="0" applyNumberFormat="1" applyFont="1" applyFill="1" applyBorder="1" applyAlignment="1">
      <alignment vertical="center"/>
    </xf>
    <xf numFmtId="0" fontId="14" fillId="3" borderId="0" xfId="0" applyFont="1" applyFill="1" applyAlignment="1">
      <alignment vertical="center"/>
    </xf>
    <xf numFmtId="3" fontId="14" fillId="3" borderId="0" xfId="0" applyNumberFormat="1" applyFont="1" applyFill="1" applyBorder="1" applyAlignment="1">
      <alignment horizontal="center" vertical="center"/>
    </xf>
    <xf numFmtId="3" fontId="14" fillId="3" borderId="8" xfId="0" applyNumberFormat="1" applyFont="1" applyFill="1" applyBorder="1" applyAlignment="1">
      <alignment vertical="center"/>
    </xf>
    <xf numFmtId="0" fontId="22" fillId="0" borderId="4" xfId="0" applyFont="1" applyBorder="1" applyAlignment="1">
      <alignment vertical="center"/>
    </xf>
    <xf numFmtId="170" fontId="14" fillId="0" borderId="0" xfId="1" applyNumberFormat="1" applyFont="1" applyAlignment="1">
      <alignment horizontal="center" vertical="center"/>
    </xf>
    <xf numFmtId="170" fontId="14" fillId="0" borderId="0" xfId="0" applyNumberFormat="1" applyFont="1" applyAlignment="1">
      <alignment horizontal="center" vertical="center"/>
    </xf>
    <xf numFmtId="0" fontId="34" fillId="0" borderId="0" xfId="0" applyFont="1" applyAlignment="1">
      <alignment vertical="center"/>
    </xf>
    <xf numFmtId="170" fontId="34" fillId="0" borderId="0" xfId="0" applyNumberFormat="1" applyFont="1" applyAlignment="1">
      <alignment horizontal="center" vertical="center"/>
    </xf>
    <xf numFmtId="0" fontId="22" fillId="0" borderId="0" xfId="0" applyFont="1" applyAlignment="1">
      <alignment horizontal="center" vertical="center"/>
    </xf>
    <xf numFmtId="0" fontId="22" fillId="0" borderId="0" xfId="0" applyFont="1" applyAlignment="1">
      <alignment vertical="center"/>
    </xf>
    <xf numFmtId="0" fontId="22" fillId="0" borderId="0" xfId="0" applyFont="1" applyAlignment="1">
      <alignment horizontal="right" vertical="center"/>
    </xf>
    <xf numFmtId="37" fontId="14" fillId="0" borderId="0" xfId="12" applyNumberFormat="1" applyFont="1" applyAlignment="1">
      <alignment horizontal="center" vertical="center"/>
    </xf>
    <xf numFmtId="10" fontId="14" fillId="0" borderId="0" xfId="1" applyNumberFormat="1" applyFont="1" applyAlignment="1">
      <alignment vertical="center"/>
    </xf>
    <xf numFmtId="169" fontId="14" fillId="0" borderId="0" xfId="0" applyNumberFormat="1" applyFont="1" applyAlignment="1">
      <alignment vertical="center"/>
    </xf>
    <xf numFmtId="0" fontId="14" fillId="0" borderId="0" xfId="0" applyFont="1" applyAlignment="1">
      <alignment horizontal="right" vertical="center"/>
    </xf>
    <xf numFmtId="0" fontId="34" fillId="0" borderId="0" xfId="0" applyFont="1" applyAlignment="1">
      <alignment horizontal="right" vertical="center"/>
    </xf>
    <xf numFmtId="169" fontId="34" fillId="0" borderId="0" xfId="0" applyNumberFormat="1" applyFont="1" applyAlignment="1">
      <alignment vertical="center"/>
    </xf>
    <xf numFmtId="37" fontId="14" fillId="0" borderId="0" xfId="0" applyNumberFormat="1" applyFont="1" applyAlignment="1">
      <alignment vertical="center"/>
    </xf>
    <xf numFmtId="10" fontId="14" fillId="0" borderId="0" xfId="1" applyNumberFormat="1" applyFont="1" applyAlignment="1">
      <alignment horizontal="center" vertical="center"/>
    </xf>
    <xf numFmtId="0" fontId="14" fillId="0" borderId="3" xfId="0" applyFont="1" applyBorder="1" applyAlignment="1">
      <alignment horizontal="center" vertical="center"/>
    </xf>
    <xf numFmtId="37" fontId="14" fillId="0" borderId="0" xfId="0" applyNumberFormat="1" applyFont="1" applyAlignment="1">
      <alignment horizontal="center" vertical="center"/>
    </xf>
    <xf numFmtId="0" fontId="34" fillId="0" borderId="0" xfId="0" applyFont="1" applyAlignment="1">
      <alignment horizontal="center" vertical="center"/>
    </xf>
    <xf numFmtId="0" fontId="35" fillId="4" borderId="0" xfId="0" applyFont="1" applyFill="1" applyAlignment="1">
      <alignment horizontal="center" vertical="center"/>
    </xf>
    <xf numFmtId="38" fontId="35" fillId="4" borderId="0" xfId="0" applyNumberFormat="1" applyFont="1" applyFill="1" applyAlignment="1">
      <alignment horizontal="center" vertical="center"/>
    </xf>
    <xf numFmtId="0" fontId="35" fillId="4" borderId="0" xfId="0" applyFont="1" applyFill="1" applyAlignment="1">
      <alignment vertical="center"/>
    </xf>
    <xf numFmtId="0" fontId="41" fillId="4" borderId="3" xfId="0" applyFont="1" applyFill="1" applyBorder="1" applyAlignment="1">
      <alignment vertical="center"/>
    </xf>
    <xf numFmtId="3" fontId="35" fillId="4" borderId="0" xfId="0" applyNumberFormat="1" applyFont="1" applyFill="1" applyAlignment="1">
      <alignment horizontal="center" vertical="center" wrapText="1"/>
    </xf>
    <xf numFmtId="3" fontId="35" fillId="4" borderId="0" xfId="0" applyNumberFormat="1" applyFont="1" applyFill="1" applyAlignment="1">
      <alignment horizontal="center" vertical="center"/>
    </xf>
    <xf numFmtId="165" fontId="35" fillId="4" borderId="0" xfId="0" applyNumberFormat="1" applyFont="1" applyFill="1" applyAlignment="1">
      <alignment horizontal="center" vertical="center" wrapText="1"/>
    </xf>
    <xf numFmtId="0" fontId="36" fillId="4" borderId="0" xfId="0" applyFont="1" applyFill="1" applyBorder="1" applyAlignment="1">
      <alignment vertical="center"/>
    </xf>
    <xf numFmtId="3" fontId="14" fillId="5" borderId="6" xfId="0" applyNumberFormat="1" applyFont="1" applyFill="1" applyBorder="1" applyAlignment="1">
      <alignment horizontal="center" vertical="center"/>
    </xf>
    <xf numFmtId="3" fontId="14" fillId="5" borderId="0" xfId="0" applyNumberFormat="1" applyFont="1" applyFill="1" applyBorder="1" applyAlignment="1">
      <alignment horizontal="center" vertical="center"/>
    </xf>
    <xf numFmtId="3" fontId="40" fillId="4" borderId="4" xfId="0" applyNumberFormat="1" applyFont="1" applyFill="1" applyBorder="1" applyAlignment="1">
      <alignment vertical="center"/>
    </xf>
    <xf numFmtId="3" fontId="35" fillId="4" borderId="0" xfId="0" applyNumberFormat="1" applyFont="1" applyFill="1" applyBorder="1" applyAlignment="1">
      <alignment horizontal="center" vertical="center"/>
    </xf>
    <xf numFmtId="0" fontId="36" fillId="4" borderId="12" xfId="0" applyFont="1" applyFill="1" applyBorder="1" applyAlignment="1">
      <alignment horizontal="center" vertical="center" wrapText="1"/>
    </xf>
    <xf numFmtId="0" fontId="37" fillId="4" borderId="12" xfId="0" applyFont="1" applyFill="1" applyBorder="1" applyAlignment="1">
      <alignment horizontal="center" vertical="center" wrapText="1"/>
    </xf>
    <xf numFmtId="3" fontId="35" fillId="4" borderId="12" xfId="0" applyNumberFormat="1" applyFont="1" applyFill="1" applyBorder="1" applyAlignment="1">
      <alignment horizontal="center" vertical="center" wrapText="1"/>
    </xf>
    <xf numFmtId="3" fontId="35" fillId="4" borderId="12" xfId="0" applyNumberFormat="1" applyFont="1" applyFill="1" applyBorder="1" applyAlignment="1">
      <alignment horizontal="center" vertical="center"/>
    </xf>
    <xf numFmtId="165" fontId="35" fillId="4" borderId="12" xfId="0" applyNumberFormat="1" applyFont="1" applyFill="1" applyBorder="1" applyAlignment="1">
      <alignment horizontal="center" vertical="center" wrapText="1"/>
    </xf>
    <xf numFmtId="165" fontId="38" fillId="4" borderId="12" xfId="0" applyNumberFormat="1" applyFont="1" applyFill="1" applyBorder="1" applyAlignment="1">
      <alignment horizontal="center" vertical="center" wrapText="1"/>
    </xf>
    <xf numFmtId="0" fontId="35" fillId="4" borderId="12" xfId="0" applyFont="1" applyFill="1" applyBorder="1" applyAlignment="1">
      <alignment horizontal="center" vertical="center"/>
    </xf>
    <xf numFmtId="0" fontId="39" fillId="4" borderId="12" xfId="0" applyFont="1" applyFill="1" applyBorder="1" applyAlignment="1">
      <alignment horizontal="right" vertical="center"/>
    </xf>
    <xf numFmtId="0" fontId="38" fillId="4" borderId="12" xfId="0" applyFont="1" applyFill="1" applyBorder="1" applyAlignment="1">
      <alignment horizontal="right" vertical="center"/>
    </xf>
    <xf numFmtId="0" fontId="35" fillId="4" borderId="0" xfId="0" applyFont="1" applyFill="1" applyBorder="1" applyAlignment="1">
      <alignment vertical="center"/>
    </xf>
    <xf numFmtId="0" fontId="36" fillId="4" borderId="15" xfId="0" applyFont="1" applyFill="1" applyBorder="1" applyAlignment="1">
      <alignment horizontal="center" vertical="center" wrapText="1"/>
    </xf>
    <xf numFmtId="3" fontId="35" fillId="4" borderId="15" xfId="0" applyNumberFormat="1" applyFont="1" applyFill="1" applyBorder="1" applyAlignment="1">
      <alignment horizontal="center" vertical="center" wrapText="1"/>
    </xf>
    <xf numFmtId="165" fontId="35" fillId="4" borderId="15" xfId="0" applyNumberFormat="1" applyFont="1" applyFill="1" applyBorder="1" applyAlignment="1">
      <alignment horizontal="center" vertical="center" wrapText="1"/>
    </xf>
    <xf numFmtId="165" fontId="35" fillId="4" borderId="0" xfId="0" applyNumberFormat="1" applyFont="1" applyFill="1" applyBorder="1" applyAlignment="1">
      <alignment horizontal="center" vertical="center" wrapText="1"/>
    </xf>
    <xf numFmtId="0" fontId="35" fillId="4" borderId="0" xfId="0" applyFont="1" applyFill="1" applyBorder="1" applyAlignment="1">
      <alignment horizontal="center" vertical="center"/>
    </xf>
    <xf numFmtId="0" fontId="35" fillId="4" borderId="14" xfId="0" applyFont="1" applyFill="1" applyBorder="1" applyAlignment="1">
      <alignment vertical="center"/>
    </xf>
    <xf numFmtId="0" fontId="35" fillId="4" borderId="14" xfId="0" applyFont="1" applyFill="1" applyBorder="1" applyAlignment="1">
      <alignment horizontal="center" vertical="center"/>
    </xf>
    <xf numFmtId="0" fontId="36" fillId="4" borderId="16" xfId="0" applyFont="1" applyFill="1" applyBorder="1" applyAlignment="1">
      <alignment horizontal="center" vertical="center" wrapText="1"/>
    </xf>
    <xf numFmtId="3" fontId="35" fillId="4" borderId="16" xfId="0" applyNumberFormat="1" applyFont="1" applyFill="1" applyBorder="1" applyAlignment="1">
      <alignment horizontal="center" vertical="center" wrapText="1"/>
    </xf>
    <xf numFmtId="165" fontId="35" fillId="4" borderId="16" xfId="0" applyNumberFormat="1" applyFont="1" applyFill="1" applyBorder="1" applyAlignment="1">
      <alignment horizontal="center" vertical="center" wrapText="1"/>
    </xf>
    <xf numFmtId="0" fontId="35" fillId="4" borderId="13" xfId="0" applyFont="1" applyFill="1" applyBorder="1" applyAlignment="1">
      <alignment vertical="center"/>
    </xf>
    <xf numFmtId="0" fontId="35" fillId="4" borderId="12" xfId="0" applyFont="1" applyFill="1" applyBorder="1" applyAlignment="1">
      <alignment horizontal="right" vertical="center"/>
    </xf>
    <xf numFmtId="0" fontId="13" fillId="0" borderId="0" xfId="0" applyFont="1" applyAlignment="1">
      <alignment horizontal="center" vertical="center" wrapText="1"/>
    </xf>
    <xf numFmtId="0" fontId="12" fillId="0" borderId="0" xfId="0" applyFont="1" applyAlignment="1">
      <alignment horizontal="center" vertical="center" wrapText="1"/>
    </xf>
    <xf numFmtId="2" fontId="21" fillId="0" borderId="0" xfId="0" applyNumberFormat="1" applyFont="1" applyAlignment="1">
      <alignment horizontal="center"/>
    </xf>
    <xf numFmtId="0" fontId="11" fillId="0" borderId="0" xfId="0" applyFont="1" applyAlignment="1">
      <alignment horizontal="center" vertical="center" wrapText="1"/>
    </xf>
    <xf numFmtId="0" fontId="11" fillId="0" borderId="0" xfId="0" applyFont="1" applyAlignment="1">
      <alignment horizontal="center" vertical="top" wrapText="1"/>
    </xf>
    <xf numFmtId="0" fontId="0" fillId="0" borderId="0" xfId="0" applyAlignment="1">
      <alignment horizontal="center" vertical="center"/>
    </xf>
    <xf numFmtId="0" fontId="0" fillId="0" borderId="0" xfId="0" applyAlignment="1">
      <alignment vertical="center"/>
    </xf>
    <xf numFmtId="3" fontId="0" fillId="0" borderId="0" xfId="0" applyNumberFormat="1" applyAlignment="1">
      <alignment vertical="center"/>
    </xf>
    <xf numFmtId="0" fontId="21" fillId="3" borderId="0" xfId="0" applyFont="1" applyFill="1" applyAlignment="1">
      <alignment horizontal="center" vertical="center"/>
    </xf>
    <xf numFmtId="37" fontId="21" fillId="0" borderId="0" xfId="12" applyNumberFormat="1" applyFont="1" applyAlignment="1">
      <alignment horizontal="center" vertical="center"/>
    </xf>
    <xf numFmtId="2" fontId="21" fillId="0" borderId="0" xfId="0" applyNumberFormat="1" applyFont="1" applyAlignment="1">
      <alignment vertical="center"/>
    </xf>
    <xf numFmtId="0" fontId="22" fillId="0" borderId="3" xfId="0" applyFont="1" applyBorder="1" applyAlignment="1">
      <alignment horizontal="center" vertical="center"/>
    </xf>
    <xf numFmtId="0" fontId="22" fillId="0" borderId="3" xfId="0" applyFont="1" applyFill="1" applyBorder="1" applyAlignment="1">
      <alignment horizontal="center" vertical="center"/>
    </xf>
    <xf numFmtId="165" fontId="21" fillId="0" borderId="0" xfId="1" applyNumberFormat="1" applyFont="1" applyAlignment="1">
      <alignment horizontal="center" vertical="center"/>
    </xf>
    <xf numFmtId="0" fontId="21" fillId="0" borderId="0" xfId="0" applyFont="1" applyAlignment="1">
      <alignment horizontal="right" vertical="center"/>
    </xf>
    <xf numFmtId="0" fontId="21" fillId="0" borderId="0" xfId="0" applyFont="1" applyBorder="1" applyAlignment="1">
      <alignment vertical="center"/>
    </xf>
    <xf numFmtId="0" fontId="21" fillId="0" borderId="3" xfId="0" applyFont="1" applyBorder="1" applyAlignment="1">
      <alignment horizontal="center" vertical="center"/>
    </xf>
    <xf numFmtId="3" fontId="21" fillId="0" borderId="3" xfId="0" applyNumberFormat="1" applyFont="1" applyBorder="1" applyAlignment="1">
      <alignment horizontal="center" vertical="center"/>
    </xf>
    <xf numFmtId="4" fontId="21" fillId="0" borderId="3" xfId="0" applyNumberFormat="1" applyFont="1" applyBorder="1" applyAlignment="1">
      <alignment horizontal="center" vertical="center"/>
    </xf>
    <xf numFmtId="37" fontId="21" fillId="0" borderId="3" xfId="12" applyNumberFormat="1" applyFont="1" applyBorder="1" applyAlignment="1">
      <alignment horizontal="center" vertical="center"/>
    </xf>
    <xf numFmtId="0" fontId="21" fillId="0" borderId="3" xfId="0" applyFont="1" applyBorder="1" applyAlignment="1">
      <alignment vertical="center"/>
    </xf>
    <xf numFmtId="3" fontId="21" fillId="0" borderId="0" xfId="0" applyNumberFormat="1" applyFont="1" applyFill="1" applyAlignment="1">
      <alignment horizontal="center" vertical="center"/>
    </xf>
    <xf numFmtId="3" fontId="43" fillId="0" borderId="0" xfId="0" applyNumberFormat="1" applyFont="1" applyAlignment="1">
      <alignment horizontal="center" vertical="center"/>
    </xf>
    <xf numFmtId="4" fontId="21" fillId="0" borderId="0" xfId="0" applyNumberFormat="1" applyFont="1" applyFill="1" applyAlignment="1">
      <alignment horizontal="center" vertical="center"/>
    </xf>
    <xf numFmtId="0" fontId="28" fillId="0" borderId="3" xfId="0" applyFont="1" applyBorder="1" applyAlignment="1">
      <alignment horizontal="center" vertical="center" wrapText="1"/>
    </xf>
    <xf numFmtId="0" fontId="10" fillId="3" borderId="0" xfId="0" applyFont="1" applyFill="1" applyAlignment="1">
      <alignment horizontal="center" vertical="center" wrapText="1"/>
    </xf>
    <xf numFmtId="0" fontId="0" fillId="0" borderId="0" xfId="0" applyFill="1" applyBorder="1" applyAlignment="1"/>
    <xf numFmtId="0" fontId="0" fillId="0" borderId="1" xfId="0" applyFill="1" applyBorder="1" applyAlignment="1"/>
    <xf numFmtId="0" fontId="30" fillId="0" borderId="2" xfId="0" applyFont="1" applyFill="1" applyBorder="1" applyAlignment="1">
      <alignment horizontal="center"/>
    </xf>
    <xf numFmtId="0" fontId="30" fillId="0" borderId="2" xfId="0" applyFont="1" applyFill="1" applyBorder="1" applyAlignment="1">
      <alignment horizontal="centerContinuous"/>
    </xf>
    <xf numFmtId="0" fontId="9" fillId="3" borderId="3" xfId="0" applyFont="1" applyFill="1" applyBorder="1" applyAlignment="1">
      <alignment vertical="center"/>
    </xf>
    <xf numFmtId="0" fontId="21" fillId="0" borderId="0" xfId="0" applyFont="1" applyFill="1" applyAlignment="1">
      <alignment horizontal="center" vertical="center"/>
    </xf>
    <xf numFmtId="168" fontId="21" fillId="0" borderId="0" xfId="0" applyNumberFormat="1" applyFont="1" applyFill="1" applyAlignment="1">
      <alignment horizontal="center" vertical="center"/>
    </xf>
    <xf numFmtId="0" fontId="8" fillId="0" borderId="0" xfId="0" applyFont="1" applyAlignment="1">
      <alignment horizontal="center" vertical="center" wrapText="1"/>
    </xf>
    <xf numFmtId="4" fontId="21" fillId="3" borderId="0" xfId="0" applyNumberFormat="1" applyFont="1" applyFill="1" applyAlignment="1">
      <alignment horizontal="center" vertical="center"/>
    </xf>
    <xf numFmtId="165" fontId="21" fillId="0" borderId="3" xfId="1" applyNumberFormat="1" applyFont="1" applyBorder="1" applyAlignment="1">
      <alignment horizontal="center" vertical="center"/>
    </xf>
    <xf numFmtId="0" fontId="10" fillId="0" borderId="0" xfId="0" applyFont="1" applyFill="1" applyAlignment="1">
      <alignment horizontal="center" vertical="center" wrapText="1"/>
    </xf>
    <xf numFmtId="2" fontId="21" fillId="0" borderId="0" xfId="0" applyNumberFormat="1" applyFont="1" applyAlignment="1">
      <alignment horizontal="center" vertical="center"/>
    </xf>
    <xf numFmtId="0" fontId="0" fillId="0" borderId="0" xfId="0" applyAlignment="1">
      <alignment horizontal="center"/>
    </xf>
    <xf numFmtId="3" fontId="14" fillId="0" borderId="0" xfId="0" applyNumberFormat="1" applyFont="1"/>
    <xf numFmtId="0" fontId="21" fillId="0" borderId="0" xfId="0" applyFont="1" applyFill="1" applyAlignment="1">
      <alignment vertical="center"/>
    </xf>
    <xf numFmtId="0" fontId="48" fillId="0" borderId="0" xfId="0" applyFont="1" applyAlignment="1">
      <alignment horizontal="center" vertical="center" wrapText="1"/>
    </xf>
    <xf numFmtId="0" fontId="44" fillId="0" borderId="0" xfId="0" applyFont="1" applyAlignment="1">
      <alignment horizontal="right" vertical="center"/>
    </xf>
    <xf numFmtId="17" fontId="0" fillId="0" borderId="0" xfId="0" applyNumberFormat="1" applyAlignment="1">
      <alignment vertical="center"/>
    </xf>
    <xf numFmtId="0" fontId="0" fillId="0" borderId="6" xfId="0" applyBorder="1" applyAlignment="1">
      <alignment horizontal="right" vertical="center"/>
    </xf>
    <xf numFmtId="0" fontId="47" fillId="0" borderId="0" xfId="0" applyFont="1" applyAlignment="1">
      <alignment vertical="center"/>
    </xf>
    <xf numFmtId="0" fontId="0" fillId="0" borderId="3" xfId="0" applyBorder="1" applyAlignment="1">
      <alignment horizontal="center" vertical="center"/>
    </xf>
    <xf numFmtId="0" fontId="0" fillId="0" borderId="3" xfId="0" applyBorder="1" applyAlignment="1">
      <alignment horizontal="center" vertical="center" wrapText="1"/>
    </xf>
    <xf numFmtId="0" fontId="0" fillId="0" borderId="3" xfId="0" applyBorder="1" applyAlignment="1">
      <alignment horizontal="left" vertical="center"/>
    </xf>
    <xf numFmtId="43" fontId="0" fillId="2" borderId="0" xfId="12" applyFont="1" applyFill="1" applyAlignment="1">
      <alignment vertical="center"/>
    </xf>
    <xf numFmtId="0" fontId="0" fillId="2" borderId="0" xfId="0" applyFill="1" applyAlignment="1">
      <alignment vertical="center"/>
    </xf>
    <xf numFmtId="43" fontId="0" fillId="2" borderId="6" xfId="12" applyFont="1" applyFill="1" applyBorder="1" applyAlignment="1">
      <alignment horizontal="right" vertical="center"/>
    </xf>
    <xf numFmtId="0" fontId="0" fillId="0" borderId="0" xfId="0" applyAlignment="1">
      <alignment horizontal="center" vertical="center"/>
    </xf>
    <xf numFmtId="43" fontId="0" fillId="0" borderId="0" xfId="0" applyNumberFormat="1" applyAlignment="1">
      <alignment horizontal="center" vertical="center"/>
    </xf>
    <xf numFmtId="10" fontId="0" fillId="0" borderId="0" xfId="1" applyNumberFormat="1" applyFont="1" applyAlignment="1">
      <alignment horizontal="center" vertical="center"/>
    </xf>
    <xf numFmtId="43" fontId="0" fillId="0" borderId="3" xfId="0" applyNumberFormat="1" applyBorder="1" applyAlignment="1">
      <alignment horizontal="center" vertical="center"/>
    </xf>
    <xf numFmtId="10" fontId="0" fillId="0" borderId="3" xfId="1" applyNumberFormat="1" applyFont="1" applyBorder="1" applyAlignment="1">
      <alignment horizontal="center" vertical="center"/>
    </xf>
    <xf numFmtId="0" fontId="0" fillId="0" borderId="0" xfId="0" applyBorder="1" applyAlignment="1">
      <alignment horizontal="right" vertical="center"/>
    </xf>
    <xf numFmtId="43" fontId="0" fillId="0" borderId="0" xfId="12" applyFont="1" applyBorder="1" applyAlignment="1">
      <alignment horizontal="right" vertical="center"/>
    </xf>
    <xf numFmtId="43" fontId="0" fillId="2" borderId="0" xfId="12" applyFont="1" applyFill="1" applyBorder="1" applyAlignment="1">
      <alignment horizontal="right" vertical="center"/>
    </xf>
    <xf numFmtId="43" fontId="0" fillId="2" borderId="0" xfId="12" applyFont="1" applyFill="1" applyAlignment="1">
      <alignment horizontal="center" vertical="center"/>
    </xf>
    <xf numFmtId="2" fontId="0" fillId="2" borderId="0" xfId="0" applyNumberFormat="1" applyFill="1" applyAlignment="1">
      <alignment horizontal="center" vertical="center"/>
    </xf>
    <xf numFmtId="43" fontId="0" fillId="0" borderId="0" xfId="12" applyFont="1" applyAlignment="1">
      <alignment horizontal="center" vertical="center"/>
    </xf>
    <xf numFmtId="43" fontId="0" fillId="0" borderId="6" xfId="12" applyFont="1" applyBorder="1" applyAlignment="1">
      <alignment horizontal="center" vertical="center"/>
    </xf>
    <xf numFmtId="0" fontId="31" fillId="0" borderId="0" xfId="7" applyFont="1" applyAlignment="1">
      <alignment vertical="center"/>
    </xf>
    <xf numFmtId="4" fontId="0" fillId="0" borderId="0" xfId="12" applyNumberFormat="1" applyFont="1" applyAlignment="1">
      <alignment horizontal="center" vertical="center"/>
    </xf>
    <xf numFmtId="4" fontId="0" fillId="0" borderId="6" xfId="12" applyNumberFormat="1" applyFont="1" applyBorder="1" applyAlignment="1">
      <alignment horizontal="center" vertical="center"/>
    </xf>
    <xf numFmtId="4" fontId="0" fillId="0" borderId="0" xfId="0" applyNumberFormat="1" applyAlignment="1">
      <alignment horizontal="center" vertical="center"/>
    </xf>
    <xf numFmtId="43" fontId="0" fillId="0" borderId="6" xfId="0" applyNumberFormat="1" applyBorder="1" applyAlignment="1">
      <alignment horizontal="center" vertical="center"/>
    </xf>
    <xf numFmtId="10" fontId="0" fillId="0" borderId="6" xfId="1" applyNumberFormat="1" applyFont="1" applyBorder="1" applyAlignment="1">
      <alignment horizontal="center" vertical="center"/>
    </xf>
    <xf numFmtId="0" fontId="44" fillId="0" borderId="0" xfId="0" applyFont="1" applyAlignment="1">
      <alignment horizontal="center" vertical="center"/>
    </xf>
    <xf numFmtId="2" fontId="44" fillId="0" borderId="0" xfId="0" applyNumberFormat="1" applyFont="1" applyAlignment="1">
      <alignment horizontal="center" vertical="center"/>
    </xf>
    <xf numFmtId="165" fontId="38" fillId="4" borderId="0" xfId="0" applyNumberFormat="1" applyFont="1" applyFill="1" applyBorder="1" applyAlignment="1">
      <alignment horizontal="center" vertical="center" wrapText="1"/>
    </xf>
    <xf numFmtId="38" fontId="35" fillId="4" borderId="12" xfId="0" applyNumberFormat="1" applyFont="1" applyFill="1" applyBorder="1" applyAlignment="1">
      <alignment horizontal="center" vertical="center"/>
    </xf>
    <xf numFmtId="0" fontId="7" fillId="0" borderId="0" xfId="0" applyFont="1"/>
    <xf numFmtId="3" fontId="35" fillId="4" borderId="13" xfId="0" applyNumberFormat="1" applyFont="1" applyFill="1" applyBorder="1" applyAlignment="1">
      <alignment horizontal="center" vertical="center"/>
    </xf>
    <xf numFmtId="0" fontId="32" fillId="4" borderId="0" xfId="0" applyFont="1" applyFill="1" applyAlignment="1">
      <alignment vertical="center"/>
    </xf>
    <xf numFmtId="0" fontId="32" fillId="4" borderId="0" xfId="0" applyFont="1" applyFill="1" applyBorder="1" applyAlignment="1">
      <alignment horizontal="center" vertical="center" wrapText="1"/>
    </xf>
    <xf numFmtId="0" fontId="32" fillId="4" borderId="0" xfId="0" applyFont="1" applyFill="1" applyAlignment="1">
      <alignment horizontal="center" vertical="center" wrapText="1"/>
    </xf>
    <xf numFmtId="0" fontId="32" fillId="4" borderId="0" xfId="0" applyFont="1" applyFill="1" applyAlignment="1">
      <alignment horizontal="center" vertical="center"/>
    </xf>
    <xf numFmtId="0" fontId="33" fillId="4" borderId="14" xfId="0" applyFont="1" applyFill="1" applyBorder="1" applyAlignment="1">
      <alignment vertical="center"/>
    </xf>
    <xf numFmtId="0" fontId="32" fillId="4" borderId="0" xfId="0" applyFont="1" applyFill="1" applyBorder="1" applyAlignment="1">
      <alignment horizontal="center" vertical="center"/>
    </xf>
    <xf numFmtId="0" fontId="32" fillId="4" borderId="13" xfId="0" applyFont="1" applyFill="1" applyBorder="1" applyAlignment="1">
      <alignment horizontal="center" vertical="center"/>
    </xf>
    <xf numFmtId="0" fontId="32" fillId="4" borderId="14" xfId="0" applyFont="1" applyFill="1" applyBorder="1" applyAlignment="1">
      <alignment vertical="center"/>
    </xf>
    <xf numFmtId="171" fontId="32" fillId="4" borderId="0" xfId="12" applyNumberFormat="1" applyFont="1" applyFill="1" applyAlignment="1">
      <alignment horizontal="center" vertical="center"/>
    </xf>
    <xf numFmtId="3" fontId="32" fillId="4" borderId="0" xfId="0" applyNumberFormat="1" applyFont="1" applyFill="1" applyAlignment="1">
      <alignment horizontal="center" vertical="center"/>
    </xf>
    <xf numFmtId="0" fontId="35" fillId="4" borderId="15" xfId="0" applyFont="1" applyFill="1" applyBorder="1" applyAlignment="1">
      <alignment horizontal="right" vertical="center"/>
    </xf>
    <xf numFmtId="4" fontId="49" fillId="0" borderId="0" xfId="0" applyNumberFormat="1" applyFont="1" applyAlignment="1">
      <alignment horizontal="center" vertical="center"/>
    </xf>
    <xf numFmtId="3" fontId="6" fillId="0" borderId="0" xfId="0" applyNumberFormat="1" applyFont="1" applyAlignment="1">
      <alignment horizontal="center" vertical="center"/>
    </xf>
    <xf numFmtId="3" fontId="6" fillId="0" borderId="3" xfId="0" applyNumberFormat="1" applyFont="1" applyBorder="1" applyAlignment="1">
      <alignment horizontal="center" vertical="center"/>
    </xf>
    <xf numFmtId="3" fontId="34" fillId="0" borderId="3" xfId="0" applyNumberFormat="1" applyFont="1" applyBorder="1" applyAlignment="1">
      <alignment horizontal="center" vertical="center"/>
    </xf>
    <xf numFmtId="4" fontId="50" fillId="0" borderId="0" xfId="0" applyNumberFormat="1" applyFont="1" applyAlignment="1">
      <alignment horizontal="center" vertical="center"/>
    </xf>
    <xf numFmtId="172" fontId="14" fillId="0" borderId="0" xfId="0" applyNumberFormat="1" applyFont="1" applyAlignment="1">
      <alignment horizontal="center"/>
    </xf>
    <xf numFmtId="172" fontId="14" fillId="2" borderId="0" xfId="0" applyNumberFormat="1" applyFont="1" applyFill="1" applyAlignment="1">
      <alignment horizontal="center"/>
    </xf>
    <xf numFmtId="0" fontId="6" fillId="0" borderId="0" xfId="0" applyFont="1" applyAlignment="1">
      <alignment vertical="center"/>
    </xf>
    <xf numFmtId="3" fontId="51" fillId="0" borderId="6" xfId="0" applyNumberFormat="1" applyFont="1" applyBorder="1" applyAlignment="1">
      <alignment horizontal="center" vertical="center"/>
    </xf>
    <xf numFmtId="173" fontId="21" fillId="0" borderId="0" xfId="0" applyNumberFormat="1" applyFont="1" applyAlignment="1">
      <alignment vertical="center"/>
    </xf>
    <xf numFmtId="0" fontId="52" fillId="0" borderId="33" xfId="0" applyFont="1" applyBorder="1" applyAlignment="1">
      <alignment vertical="center"/>
    </xf>
    <xf numFmtId="0" fontId="53" fillId="0" borderId="33" xfId="0" applyFont="1" applyBorder="1" applyAlignment="1">
      <alignment horizontal="center" vertical="center"/>
    </xf>
    <xf numFmtId="0" fontId="0" fillId="0" borderId="33" xfId="0" applyBorder="1" applyAlignment="1">
      <alignment vertical="center"/>
    </xf>
    <xf numFmtId="2" fontId="0" fillId="0" borderId="33" xfId="0" applyNumberFormat="1" applyBorder="1" applyAlignment="1">
      <alignment horizontal="center" vertical="center"/>
    </xf>
    <xf numFmtId="0" fontId="0" fillId="0" borderId="34" xfId="0" applyBorder="1" applyAlignment="1">
      <alignment vertical="center"/>
    </xf>
    <xf numFmtId="2" fontId="0" fillId="0" borderId="34" xfId="0" applyNumberFormat="1" applyBorder="1" applyAlignment="1">
      <alignment horizontal="center" vertical="center"/>
    </xf>
    <xf numFmtId="0" fontId="54" fillId="4" borderId="35" xfId="0" applyFont="1" applyFill="1" applyBorder="1" applyAlignment="1">
      <alignment horizontal="right" vertical="center"/>
    </xf>
    <xf numFmtId="2" fontId="54" fillId="4" borderId="36" xfId="0" applyNumberFormat="1" applyFont="1" applyFill="1" applyBorder="1" applyAlignment="1">
      <alignment horizontal="center" vertical="center"/>
    </xf>
    <xf numFmtId="2" fontId="54" fillId="4" borderId="37" xfId="0" applyNumberFormat="1" applyFont="1" applyFill="1" applyBorder="1" applyAlignment="1">
      <alignment horizontal="center" vertical="center"/>
    </xf>
    <xf numFmtId="0" fontId="54" fillId="0" borderId="38" xfId="0" applyFont="1" applyBorder="1" applyAlignment="1">
      <alignment horizontal="right" vertical="center"/>
    </xf>
    <xf numFmtId="2" fontId="54" fillId="0" borderId="33" xfId="0" applyNumberFormat="1" applyFont="1" applyFill="1" applyBorder="1" applyAlignment="1">
      <alignment horizontal="center" vertical="center"/>
    </xf>
    <xf numFmtId="2" fontId="54" fillId="0" borderId="39" xfId="0" applyNumberFormat="1" applyFont="1" applyFill="1" applyBorder="1" applyAlignment="1">
      <alignment horizontal="center" vertical="center"/>
    </xf>
    <xf numFmtId="0" fontId="54" fillId="4" borderId="40" xfId="0" applyFont="1" applyFill="1" applyBorder="1" applyAlignment="1">
      <alignment horizontal="right" vertical="center"/>
    </xf>
    <xf numFmtId="2" fontId="54" fillId="0" borderId="41" xfId="0" applyNumberFormat="1" applyFont="1" applyFill="1" applyBorder="1" applyAlignment="1">
      <alignment horizontal="center" vertical="center"/>
    </xf>
    <xf numFmtId="2" fontId="54" fillId="0" borderId="42" xfId="0" applyNumberFormat="1" applyFont="1" applyFill="1" applyBorder="1" applyAlignment="1">
      <alignment horizontal="center" vertical="center"/>
    </xf>
    <xf numFmtId="0" fontId="0" fillId="4" borderId="0" xfId="0" applyFill="1" applyAlignment="1">
      <alignment vertical="center"/>
    </xf>
    <xf numFmtId="4" fontId="21" fillId="3" borderId="3" xfId="0" applyNumberFormat="1" applyFont="1" applyFill="1" applyBorder="1" applyAlignment="1">
      <alignment horizontal="center" vertical="center"/>
    </xf>
    <xf numFmtId="4" fontId="6" fillId="3" borderId="0" xfId="0" applyNumberFormat="1" applyFont="1" applyFill="1" applyAlignment="1">
      <alignment horizontal="right" vertical="center"/>
    </xf>
    <xf numFmtId="0" fontId="6" fillId="0" borderId="3" xfId="0" applyFont="1" applyBorder="1" applyAlignment="1">
      <alignment horizontal="center" vertical="center" wrapText="1"/>
    </xf>
    <xf numFmtId="10" fontId="6" fillId="0" borderId="0" xfId="1" applyNumberFormat="1" applyFont="1" applyAlignment="1">
      <alignment horizontal="center" vertical="center"/>
    </xf>
    <xf numFmtId="10" fontId="6" fillId="0" borderId="3" xfId="1" applyNumberFormat="1" applyFont="1" applyBorder="1" applyAlignment="1">
      <alignment horizontal="center" vertical="center"/>
    </xf>
    <xf numFmtId="0" fontId="6" fillId="0" borderId="4" xfId="0" applyFont="1" applyBorder="1" applyAlignment="1">
      <alignment horizontal="center" vertical="center" wrapText="1"/>
    </xf>
    <xf numFmtId="3" fontId="21" fillId="3" borderId="0" xfId="0" applyNumberFormat="1" applyFont="1" applyFill="1" applyAlignment="1">
      <alignment horizontal="center" vertical="center"/>
    </xf>
    <xf numFmtId="3" fontId="21" fillId="3" borderId="3" xfId="0" applyNumberFormat="1" applyFont="1" applyFill="1" applyBorder="1" applyAlignment="1">
      <alignment horizontal="center" vertical="center"/>
    </xf>
    <xf numFmtId="0" fontId="5" fillId="0" borderId="0" xfId="0" applyFont="1" applyAlignment="1">
      <alignment horizontal="center" vertical="center"/>
    </xf>
    <xf numFmtId="0" fontId="4" fillId="0" borderId="0" xfId="0" applyFont="1" applyAlignment="1">
      <alignment horizontal="center" vertical="center"/>
    </xf>
    <xf numFmtId="0" fontId="55" fillId="4" borderId="14" xfId="0" applyFont="1" applyFill="1" applyBorder="1" applyAlignment="1">
      <alignment horizontal="right" vertical="center"/>
    </xf>
    <xf numFmtId="0" fontId="30" fillId="4" borderId="2" xfId="0" applyFont="1" applyFill="1" applyBorder="1" applyAlignment="1">
      <alignment horizontal="centerContinuous"/>
    </xf>
    <xf numFmtId="0" fontId="0" fillId="4" borderId="0" xfId="0" applyFill="1"/>
    <xf numFmtId="0" fontId="0" fillId="4" borderId="0" xfId="0" applyFill="1" applyBorder="1" applyAlignment="1"/>
    <xf numFmtId="0" fontId="0" fillId="4" borderId="1" xfId="0" applyFill="1" applyBorder="1" applyAlignment="1"/>
    <xf numFmtId="0" fontId="30" fillId="4" borderId="2" xfId="0" applyFont="1" applyFill="1" applyBorder="1" applyAlignment="1">
      <alignment horizontal="center"/>
    </xf>
    <xf numFmtId="169" fontId="0" fillId="4" borderId="0" xfId="1" applyNumberFormat="1" applyFont="1" applyFill="1" applyBorder="1" applyAlignment="1"/>
    <xf numFmtId="0" fontId="22" fillId="4" borderId="3" xfId="0" applyFont="1" applyFill="1" applyBorder="1" applyAlignment="1">
      <alignment horizontal="center" vertical="center"/>
    </xf>
    <xf numFmtId="0" fontId="22" fillId="4" borderId="3" xfId="0" applyFont="1" applyFill="1" applyBorder="1" applyAlignment="1">
      <alignment vertical="center"/>
    </xf>
    <xf numFmtId="3" fontId="21" fillId="4" borderId="0" xfId="0" applyNumberFormat="1" applyFont="1" applyFill="1" applyAlignment="1">
      <alignment horizontal="center" vertical="center"/>
    </xf>
    <xf numFmtId="0" fontId="21" fillId="4" borderId="0" xfId="0" applyFont="1" applyFill="1" applyAlignment="1">
      <alignment horizontal="center" vertical="center"/>
    </xf>
    <xf numFmtId="10" fontId="21" fillId="4" borderId="0" xfId="1" applyNumberFormat="1" applyFont="1" applyFill="1" applyAlignment="1">
      <alignment horizontal="center" vertical="center"/>
    </xf>
    <xf numFmtId="1" fontId="0" fillId="4" borderId="0" xfId="0" applyNumberFormat="1" applyFill="1" applyBorder="1" applyAlignment="1"/>
    <xf numFmtId="1" fontId="0" fillId="4" borderId="1" xfId="0" applyNumberFormat="1" applyFill="1" applyBorder="1" applyAlignment="1"/>
    <xf numFmtId="3" fontId="51" fillId="0" borderId="0" xfId="0" applyNumberFormat="1" applyFont="1" applyBorder="1" applyAlignment="1">
      <alignment horizontal="center" vertical="center"/>
    </xf>
    <xf numFmtId="3" fontId="21" fillId="4" borderId="0" xfId="0" applyNumberFormat="1" applyFont="1" applyFill="1" applyBorder="1" applyAlignment="1">
      <alignment horizontal="center" vertical="center"/>
    </xf>
    <xf numFmtId="0" fontId="56" fillId="0" borderId="10" xfId="0" applyFont="1" applyBorder="1" applyAlignment="1">
      <alignment horizontal="center" vertical="center" wrapText="1"/>
    </xf>
    <xf numFmtId="3" fontId="56" fillId="4" borderId="8" xfId="0" applyNumberFormat="1" applyFont="1" applyFill="1" applyBorder="1" applyAlignment="1">
      <alignment horizontal="center" vertical="center"/>
    </xf>
    <xf numFmtId="0" fontId="56" fillId="4" borderId="0" xfId="0" applyFont="1" applyFill="1" applyAlignment="1">
      <alignment horizontal="center" vertical="center"/>
    </xf>
    <xf numFmtId="165" fontId="56" fillId="4" borderId="0" xfId="1" applyNumberFormat="1" applyFont="1" applyFill="1" applyAlignment="1">
      <alignment horizontal="center" vertical="center"/>
    </xf>
    <xf numFmtId="165" fontId="56" fillId="4" borderId="0" xfId="1" applyNumberFormat="1" applyFont="1" applyFill="1" applyBorder="1" applyAlignment="1">
      <alignment horizontal="center" vertical="center"/>
    </xf>
    <xf numFmtId="0" fontId="56" fillId="4" borderId="3" xfId="0" applyFont="1" applyFill="1" applyBorder="1" applyAlignment="1">
      <alignment horizontal="center" vertical="center"/>
    </xf>
    <xf numFmtId="3" fontId="22" fillId="0" borderId="0" xfId="0" applyNumberFormat="1" applyFont="1" applyAlignment="1">
      <alignment horizontal="center" vertical="center" wrapText="1"/>
    </xf>
    <xf numFmtId="3" fontId="56" fillId="0" borderId="0" xfId="0" applyNumberFormat="1" applyFont="1" applyAlignment="1">
      <alignment horizontal="center" vertical="center"/>
    </xf>
    <xf numFmtId="0" fontId="14" fillId="4" borderId="0" xfId="0" applyFont="1" applyFill="1" applyAlignment="1">
      <alignment vertical="center"/>
    </xf>
    <xf numFmtId="3" fontId="22" fillId="4" borderId="3" xfId="0" applyNumberFormat="1" applyFont="1" applyFill="1" applyBorder="1" applyAlignment="1">
      <alignment horizontal="center" vertical="center"/>
    </xf>
    <xf numFmtId="3" fontId="22" fillId="4" borderId="11" xfId="0" applyNumberFormat="1" applyFont="1" applyFill="1" applyBorder="1" applyAlignment="1">
      <alignment horizontal="center" vertical="center"/>
    </xf>
    <xf numFmtId="0" fontId="0" fillId="0" borderId="0" xfId="0" applyAlignment="1">
      <alignment horizontal="center" vertical="center"/>
    </xf>
    <xf numFmtId="0" fontId="3" fillId="0" borderId="0" xfId="0" applyFont="1" applyAlignment="1">
      <alignment vertical="center"/>
    </xf>
    <xf numFmtId="0" fontId="3" fillId="0" borderId="3" xfId="0" applyFont="1" applyBorder="1" applyAlignment="1">
      <alignment horizontal="center" vertical="center" wrapText="1"/>
    </xf>
    <xf numFmtId="0" fontId="3" fillId="0" borderId="3" xfId="0" applyFont="1" applyBorder="1" applyAlignment="1">
      <alignment horizontal="center" vertical="center"/>
    </xf>
    <xf numFmtId="0" fontId="3" fillId="4" borderId="0" xfId="0" applyFont="1" applyFill="1" applyAlignment="1">
      <alignment vertical="center"/>
    </xf>
    <xf numFmtId="0" fontId="3" fillId="4" borderId="10" xfId="0" applyFont="1" applyFill="1" applyBorder="1" applyAlignment="1">
      <alignment horizontal="center" vertical="center" wrapText="1"/>
    </xf>
    <xf numFmtId="0" fontId="3" fillId="4" borderId="11" xfId="0" applyFont="1" applyFill="1" applyBorder="1" applyAlignment="1">
      <alignment horizontal="center" vertical="center"/>
    </xf>
    <xf numFmtId="0" fontId="3" fillId="4" borderId="3" xfId="0" applyFont="1" applyFill="1" applyBorder="1" applyAlignment="1">
      <alignment horizontal="center" vertical="center"/>
    </xf>
    <xf numFmtId="17" fontId="3" fillId="4" borderId="0" xfId="0" applyNumberFormat="1" applyFont="1" applyFill="1" applyAlignment="1">
      <alignment vertical="center"/>
    </xf>
    <xf numFmtId="39" fontId="3" fillId="4" borderId="8" xfId="0" applyNumberFormat="1" applyFont="1" applyFill="1" applyBorder="1" applyAlignment="1">
      <alignment horizontal="center" vertical="center"/>
    </xf>
    <xf numFmtId="39" fontId="3" fillId="4" borderId="9" xfId="0" applyNumberFormat="1" applyFont="1" applyFill="1" applyBorder="1" applyAlignment="1">
      <alignment horizontal="center" vertical="center"/>
    </xf>
    <xf numFmtId="17" fontId="3" fillId="4" borderId="3" xfId="0" applyNumberFormat="1" applyFont="1" applyFill="1" applyBorder="1" applyAlignment="1">
      <alignment vertical="center"/>
    </xf>
    <xf numFmtId="39" fontId="3" fillId="4" borderId="10" xfId="0" applyNumberFormat="1" applyFont="1" applyFill="1" applyBorder="1" applyAlignment="1">
      <alignment horizontal="center" vertical="center"/>
    </xf>
    <xf numFmtId="39" fontId="3" fillId="4" borderId="11" xfId="0" applyNumberFormat="1" applyFont="1" applyFill="1" applyBorder="1" applyAlignment="1">
      <alignment horizontal="center" vertical="center"/>
    </xf>
    <xf numFmtId="0" fontId="22" fillId="4" borderId="0" xfId="0" applyFont="1" applyFill="1" applyAlignment="1">
      <alignment horizontal="right" vertical="center"/>
    </xf>
    <xf numFmtId="39" fontId="22" fillId="4" borderId="10" xfId="0" applyNumberFormat="1" applyFont="1" applyFill="1" applyBorder="1" applyAlignment="1">
      <alignment horizontal="center" vertical="center"/>
    </xf>
    <xf numFmtId="39" fontId="22" fillId="4" borderId="11" xfId="0" applyNumberFormat="1" applyFont="1" applyFill="1" applyBorder="1" applyAlignment="1">
      <alignment horizontal="center" vertical="center"/>
    </xf>
    <xf numFmtId="39" fontId="22" fillId="4" borderId="3" xfId="0" applyNumberFormat="1" applyFont="1" applyFill="1" applyBorder="1" applyAlignment="1">
      <alignment horizontal="center" vertical="center"/>
    </xf>
    <xf numFmtId="39" fontId="22" fillId="4" borderId="22" xfId="0" applyNumberFormat="1" applyFont="1" applyFill="1" applyBorder="1" applyAlignment="1">
      <alignment horizontal="center" vertical="center"/>
    </xf>
    <xf numFmtId="39" fontId="22" fillId="4" borderId="23" xfId="0" applyNumberFormat="1" applyFont="1" applyFill="1" applyBorder="1" applyAlignment="1">
      <alignment horizontal="center" vertical="center"/>
    </xf>
    <xf numFmtId="0" fontId="22" fillId="4" borderId="6" xfId="0" applyFont="1" applyFill="1" applyBorder="1" applyAlignment="1">
      <alignment horizontal="right" vertical="center"/>
    </xf>
    <xf numFmtId="39" fontId="22" fillId="4" borderId="27" xfId="0" applyNumberFormat="1" applyFont="1" applyFill="1" applyBorder="1" applyAlignment="1">
      <alignment horizontal="center" vertical="center"/>
    </xf>
    <xf numFmtId="39" fontId="22" fillId="4" borderId="29" xfId="0" applyNumberFormat="1" applyFont="1" applyFill="1" applyBorder="1" applyAlignment="1">
      <alignment horizontal="center" vertical="center"/>
    </xf>
    <xf numFmtId="39" fontId="22" fillId="4" borderId="21" xfId="0" applyNumberFormat="1" applyFont="1" applyFill="1" applyBorder="1" applyAlignment="1">
      <alignment horizontal="center" vertical="center"/>
    </xf>
    <xf numFmtId="17" fontId="3" fillId="4" borderId="0" xfId="0" applyNumberFormat="1" applyFont="1" applyFill="1" applyAlignment="1">
      <alignment horizontal="right" vertical="center"/>
    </xf>
    <xf numFmtId="0" fontId="22" fillId="4" borderId="19" xfId="0" applyFont="1" applyFill="1" applyBorder="1" applyAlignment="1">
      <alignment horizontal="center" vertical="center"/>
    </xf>
    <xf numFmtId="0" fontId="22" fillId="4" borderId="20" xfId="0" applyFont="1" applyFill="1" applyBorder="1" applyAlignment="1">
      <alignment horizontal="center" vertical="center"/>
    </xf>
    <xf numFmtId="0" fontId="56" fillId="4" borderId="0" xfId="0" applyFont="1" applyFill="1" applyAlignment="1">
      <alignment horizontal="right" vertical="center"/>
    </xf>
    <xf numFmtId="0" fontId="56" fillId="4" borderId="0" xfId="0" applyFont="1" applyFill="1" applyAlignment="1">
      <alignment vertical="center"/>
    </xf>
    <xf numFmtId="17" fontId="3" fillId="4" borderId="3" xfId="0" applyNumberFormat="1" applyFont="1" applyFill="1" applyBorder="1" applyAlignment="1">
      <alignment horizontal="right" vertical="center"/>
    </xf>
    <xf numFmtId="0" fontId="56" fillId="4" borderId="3" xfId="0" applyFont="1" applyFill="1" applyBorder="1" applyAlignment="1">
      <alignment vertical="center"/>
    </xf>
    <xf numFmtId="0" fontId="56" fillId="4" borderId="24" xfId="0" applyFont="1" applyFill="1" applyBorder="1" applyAlignment="1">
      <alignment vertical="center"/>
    </xf>
    <xf numFmtId="0" fontId="44" fillId="0" borderId="0" xfId="0" applyFont="1" applyAlignment="1">
      <alignment vertical="center" wrapText="1"/>
    </xf>
    <xf numFmtId="43" fontId="3" fillId="0" borderId="0" xfId="12" applyFont="1" applyAlignment="1">
      <alignment vertical="center"/>
    </xf>
    <xf numFmtId="0" fontId="44" fillId="0" borderId="0" xfId="0" applyFont="1" applyAlignment="1">
      <alignment horizontal="center" vertical="center" wrapText="1"/>
    </xf>
    <xf numFmtId="0" fontId="3" fillId="0" borderId="6" xfId="0" applyFont="1" applyBorder="1" applyAlignment="1">
      <alignment horizontal="right" vertical="center"/>
    </xf>
    <xf numFmtId="43" fontId="3" fillId="0" borderId="6" xfId="12" applyFont="1" applyBorder="1" applyAlignment="1">
      <alignment horizontal="right" vertical="center"/>
    </xf>
    <xf numFmtId="4" fontId="3" fillId="0" borderId="6" xfId="12" applyNumberFormat="1" applyFont="1" applyBorder="1" applyAlignment="1">
      <alignment horizontal="center" vertical="center"/>
    </xf>
    <xf numFmtId="0" fontId="3" fillId="0" borderId="0" xfId="0" applyFont="1" applyAlignment="1">
      <alignment horizontal="center" vertical="center"/>
    </xf>
    <xf numFmtId="2" fontId="44" fillId="0" borderId="0" xfId="0" applyNumberFormat="1" applyFont="1" applyAlignment="1">
      <alignment horizontal="center" vertical="center" wrapText="1"/>
    </xf>
    <xf numFmtId="0" fontId="3" fillId="0" borderId="0" xfId="0" applyFont="1" applyBorder="1" applyAlignment="1">
      <alignment horizontal="center" vertical="center"/>
    </xf>
    <xf numFmtId="0" fontId="58" fillId="0" borderId="0" xfId="0" applyFont="1" applyBorder="1" applyAlignment="1">
      <alignment horizontal="center" vertical="center" wrapText="1"/>
    </xf>
    <xf numFmtId="0" fontId="3" fillId="4" borderId="3" xfId="0" applyFont="1" applyFill="1" applyBorder="1" applyAlignment="1">
      <alignment horizontal="center" vertical="center" wrapText="1"/>
    </xf>
    <xf numFmtId="0" fontId="44" fillId="4" borderId="0" xfId="0" applyFont="1" applyFill="1" applyAlignment="1">
      <alignment horizontal="right" vertical="center" wrapText="1"/>
    </xf>
    <xf numFmtId="2" fontId="44" fillId="4" borderId="0" xfId="0" applyNumberFormat="1" applyFont="1" applyFill="1" applyAlignment="1">
      <alignment horizontal="center" vertical="center" wrapText="1"/>
    </xf>
    <xf numFmtId="0" fontId="44" fillId="4" borderId="0" xfId="0" applyFont="1" applyFill="1" applyAlignment="1">
      <alignment horizontal="center" vertical="center" wrapText="1"/>
    </xf>
    <xf numFmtId="43" fontId="3" fillId="4" borderId="0" xfId="12" applyFont="1" applyFill="1" applyAlignment="1">
      <alignment vertical="center"/>
    </xf>
    <xf numFmtId="0" fontId="3" fillId="4" borderId="6" xfId="0" applyFont="1" applyFill="1" applyBorder="1" applyAlignment="1">
      <alignment horizontal="right" vertical="center"/>
    </xf>
    <xf numFmtId="4" fontId="3" fillId="4" borderId="6" xfId="12" applyNumberFormat="1" applyFont="1" applyFill="1" applyBorder="1" applyAlignment="1">
      <alignment horizontal="center" vertical="center"/>
    </xf>
    <xf numFmtId="0" fontId="3" fillId="4" borderId="0" xfId="0" applyFont="1" applyFill="1" applyAlignment="1">
      <alignment horizontal="center" vertical="center"/>
    </xf>
    <xf numFmtId="43" fontId="3" fillId="4" borderId="0" xfId="12" applyFont="1" applyFill="1" applyBorder="1" applyAlignment="1">
      <alignment horizontal="right" vertical="center"/>
    </xf>
    <xf numFmtId="4" fontId="3" fillId="4" borderId="0" xfId="12" applyNumberFormat="1" applyFont="1" applyFill="1" applyBorder="1" applyAlignment="1">
      <alignment horizontal="center" vertical="center"/>
    </xf>
    <xf numFmtId="0" fontId="44" fillId="4" borderId="3" xfId="0" applyFont="1" applyFill="1" applyBorder="1" applyAlignment="1">
      <alignment horizontal="center" vertical="center" wrapText="1"/>
    </xf>
    <xf numFmtId="2" fontId="44" fillId="4" borderId="3" xfId="0" applyNumberFormat="1" applyFont="1" applyFill="1" applyBorder="1" applyAlignment="1">
      <alignment horizontal="center" vertical="center" wrapText="1"/>
    </xf>
    <xf numFmtId="43" fontId="3" fillId="4" borderId="3" xfId="12" applyFont="1" applyFill="1" applyBorder="1" applyAlignment="1">
      <alignment vertical="center"/>
    </xf>
    <xf numFmtId="0" fontId="0" fillId="4" borderId="3" xfId="0" applyFill="1" applyBorder="1" applyAlignment="1">
      <alignment vertical="center"/>
    </xf>
    <xf numFmtId="0" fontId="58" fillId="4" borderId="3" xfId="0" applyFont="1" applyFill="1" applyBorder="1" applyAlignment="1">
      <alignment horizontal="center" vertical="center" wrapText="1"/>
    </xf>
    <xf numFmtId="0" fontId="22" fillId="4" borderId="25" xfId="0" applyFont="1" applyFill="1" applyBorder="1" applyAlignment="1">
      <alignment horizontal="center" vertical="center"/>
    </xf>
    <xf numFmtId="39" fontId="22" fillId="4" borderId="19" xfId="0" applyNumberFormat="1" applyFont="1" applyFill="1" applyBorder="1" applyAlignment="1">
      <alignment horizontal="center" vertical="center"/>
    </xf>
    <xf numFmtId="39" fontId="22" fillId="4" borderId="20" xfId="0" applyNumberFormat="1" applyFont="1" applyFill="1" applyBorder="1" applyAlignment="1">
      <alignment horizontal="center" vertical="center"/>
    </xf>
    <xf numFmtId="39" fontId="22" fillId="4" borderId="24" xfId="0" applyNumberFormat="1" applyFont="1" applyFill="1" applyBorder="1" applyAlignment="1">
      <alignment horizontal="center" vertical="center"/>
    </xf>
    <xf numFmtId="39" fontId="22" fillId="4" borderId="25" xfId="0" applyNumberFormat="1" applyFont="1" applyFill="1" applyBorder="1" applyAlignment="1">
      <alignment horizontal="center" vertical="center"/>
    </xf>
    <xf numFmtId="0" fontId="22" fillId="4" borderId="26" xfId="0" applyFont="1" applyFill="1" applyBorder="1" applyAlignment="1">
      <alignment horizontal="center" vertical="center" wrapText="1"/>
    </xf>
    <xf numFmtId="39" fontId="22" fillId="4" borderId="28" xfId="0" applyNumberFormat="1" applyFont="1" applyFill="1" applyBorder="1" applyAlignment="1">
      <alignment horizontal="center" vertical="center"/>
    </xf>
    <xf numFmtId="39" fontId="22" fillId="4" borderId="26" xfId="0" applyNumberFormat="1" applyFont="1" applyFill="1" applyBorder="1" applyAlignment="1">
      <alignment horizontal="center" vertical="center"/>
    </xf>
    <xf numFmtId="3" fontId="35" fillId="4" borderId="0" xfId="0" applyNumberFormat="1" applyFont="1" applyFill="1" applyAlignment="1">
      <alignment vertical="center"/>
    </xf>
    <xf numFmtId="37" fontId="14" fillId="4" borderId="0" xfId="12" applyNumberFormat="1" applyFont="1" applyFill="1" applyAlignment="1">
      <alignment horizontal="center" vertical="center"/>
    </xf>
    <xf numFmtId="37" fontId="14" fillId="4" borderId="3" xfId="12" applyNumberFormat="1" applyFont="1" applyFill="1" applyBorder="1" applyAlignment="1">
      <alignment horizontal="center" vertical="center"/>
    </xf>
    <xf numFmtId="0" fontId="14" fillId="4" borderId="9" xfId="0" applyFont="1" applyFill="1" applyBorder="1" applyAlignment="1">
      <alignment vertical="center"/>
    </xf>
    <xf numFmtId="0" fontId="14" fillId="4" borderId="11" xfId="0" applyFont="1" applyFill="1" applyBorder="1" applyAlignment="1">
      <alignment vertical="center"/>
    </xf>
    <xf numFmtId="0" fontId="2" fillId="4" borderId="9" xfId="0" applyFont="1" applyFill="1" applyBorder="1" applyAlignment="1">
      <alignment horizontal="right" vertical="center"/>
    </xf>
    <xf numFmtId="37" fontId="45" fillId="3" borderId="0" xfId="12" applyNumberFormat="1" applyFont="1" applyFill="1" applyAlignment="1">
      <alignment horizontal="center" vertical="center"/>
    </xf>
    <xf numFmtId="3" fontId="22" fillId="4" borderId="0" xfId="0" applyNumberFormat="1" applyFont="1" applyFill="1" applyAlignment="1">
      <alignment horizontal="center" vertical="center"/>
    </xf>
    <xf numFmtId="3" fontId="14" fillId="4" borderId="0" xfId="0" applyNumberFormat="1" applyFont="1" applyFill="1" applyAlignment="1">
      <alignment horizontal="center" vertical="center"/>
    </xf>
    <xf numFmtId="3" fontId="45" fillId="3" borderId="6" xfId="0" applyNumberFormat="1" applyFont="1" applyFill="1" applyBorder="1" applyAlignment="1">
      <alignment horizontal="center" vertical="center"/>
    </xf>
    <xf numFmtId="3" fontId="45" fillId="3" borderId="0" xfId="0" applyNumberFormat="1" applyFont="1" applyFill="1" applyBorder="1" applyAlignment="1">
      <alignment horizontal="center" vertical="center"/>
    </xf>
    <xf numFmtId="3" fontId="21" fillId="7" borderId="0" xfId="0" applyNumberFormat="1" applyFont="1" applyFill="1" applyAlignment="1">
      <alignment horizontal="center" vertical="center"/>
    </xf>
    <xf numFmtId="0" fontId="1" fillId="0" borderId="0" xfId="0" applyFont="1" applyAlignment="1">
      <alignment horizontal="center" vertical="center"/>
    </xf>
    <xf numFmtId="3" fontId="34" fillId="0" borderId="0" xfId="0" applyNumberFormat="1" applyFont="1" applyBorder="1" applyAlignment="1">
      <alignment horizontal="center" vertical="center"/>
    </xf>
    <xf numFmtId="3" fontId="40" fillId="4" borderId="30" xfId="0" applyNumberFormat="1" applyFont="1" applyFill="1" applyBorder="1" applyAlignment="1">
      <alignment horizontal="center" vertical="center" wrapText="1"/>
    </xf>
    <xf numFmtId="3" fontId="40" fillId="4" borderId="32" xfId="0" applyNumberFormat="1" applyFont="1" applyFill="1" applyBorder="1" applyAlignment="1">
      <alignment horizontal="center" vertical="center" wrapText="1"/>
    </xf>
    <xf numFmtId="3" fontId="40" fillId="4" borderId="31" xfId="0" applyNumberFormat="1" applyFont="1" applyFill="1" applyBorder="1" applyAlignment="1">
      <alignment horizontal="center" vertical="center" wrapText="1"/>
    </xf>
    <xf numFmtId="0" fontId="6" fillId="0" borderId="3" xfId="0" applyFont="1" applyBorder="1" applyAlignment="1">
      <alignment horizontal="center" vertical="center" wrapText="1"/>
    </xf>
    <xf numFmtId="0" fontId="6" fillId="0" borderId="3" xfId="0" applyFont="1" applyBorder="1" applyAlignment="1">
      <alignment horizontal="center" vertical="center"/>
    </xf>
    <xf numFmtId="3" fontId="6" fillId="0" borderId="4" xfId="0" applyNumberFormat="1" applyFont="1" applyBorder="1" applyAlignment="1">
      <alignment horizontal="center" vertical="center"/>
    </xf>
    <xf numFmtId="0" fontId="6" fillId="0" borderId="4" xfId="0" applyFont="1" applyBorder="1" applyAlignment="1">
      <alignment horizontal="center" vertical="center"/>
    </xf>
    <xf numFmtId="0" fontId="46" fillId="0" borderId="33" xfId="0" applyFont="1" applyBorder="1" applyAlignment="1">
      <alignment horizontal="center" vertical="center"/>
    </xf>
    <xf numFmtId="0" fontId="22" fillId="0" borderId="0" xfId="0" applyFont="1" applyAlignment="1">
      <alignment horizontal="center" vertical="center" wrapText="1"/>
    </xf>
    <xf numFmtId="0" fontId="42" fillId="3" borderId="0" xfId="0" applyFont="1" applyFill="1" applyAlignment="1">
      <alignment horizontal="left" vertical="center"/>
    </xf>
    <xf numFmtId="0" fontId="57" fillId="4" borderId="8" xfId="0" applyFont="1" applyFill="1" applyBorder="1" applyAlignment="1">
      <alignment horizontal="center" vertical="center"/>
    </xf>
    <xf numFmtId="0" fontId="57" fillId="4" borderId="9" xfId="0" applyFont="1" applyFill="1" applyBorder="1" applyAlignment="1">
      <alignment horizontal="center" vertical="center"/>
    </xf>
    <xf numFmtId="0" fontId="0" fillId="0" borderId="0" xfId="0" applyAlignment="1">
      <alignment horizontal="center" vertical="center"/>
    </xf>
    <xf numFmtId="0" fontId="22" fillId="3" borderId="0" xfId="0" applyFont="1" applyFill="1" applyAlignment="1">
      <alignment horizontal="center" vertical="center"/>
    </xf>
    <xf numFmtId="0" fontId="22" fillId="6" borderId="0" xfId="0" applyFont="1" applyFill="1" applyAlignment="1">
      <alignment horizontal="center" vertical="center"/>
    </xf>
    <xf numFmtId="0" fontId="22" fillId="4" borderId="5" xfId="0" applyFont="1" applyFill="1" applyBorder="1" applyAlignment="1">
      <alignment horizontal="center" vertical="center"/>
    </xf>
    <xf numFmtId="0" fontId="22" fillId="4" borderId="7" xfId="0" applyFont="1" applyFill="1" applyBorder="1" applyAlignment="1">
      <alignment horizontal="center" vertical="center"/>
    </xf>
    <xf numFmtId="0" fontId="22" fillId="4" borderId="6" xfId="0" applyFont="1" applyFill="1" applyBorder="1" applyAlignment="1">
      <alignment horizontal="center" vertical="center"/>
    </xf>
    <xf numFmtId="0" fontId="22" fillId="4" borderId="17" xfId="0" applyFont="1" applyFill="1" applyBorder="1" applyAlignment="1">
      <alignment horizontal="center" vertical="center"/>
    </xf>
    <xf numFmtId="0" fontId="22" fillId="4" borderId="18" xfId="0" applyFont="1" applyFill="1" applyBorder="1" applyAlignment="1">
      <alignment horizontal="center" vertical="center"/>
    </xf>
    <xf numFmtId="4" fontId="21" fillId="8" borderId="0" xfId="0" applyNumberFormat="1" applyFont="1" applyFill="1" applyAlignment="1">
      <alignment horizontal="center" vertical="center"/>
    </xf>
    <xf numFmtId="3" fontId="21" fillId="8" borderId="0" xfId="0" applyNumberFormat="1" applyFont="1" applyFill="1" applyAlignment="1">
      <alignment horizontal="center" vertical="center"/>
    </xf>
    <xf numFmtId="0" fontId="1" fillId="8" borderId="0" xfId="0" applyFont="1" applyFill="1" applyAlignment="1">
      <alignment horizontal="center" vertical="center" wrapText="1"/>
    </xf>
    <xf numFmtId="0" fontId="34" fillId="8" borderId="0" xfId="0" applyFont="1" applyFill="1" applyAlignment="1">
      <alignment horizontal="center" vertical="center" wrapText="1"/>
    </xf>
    <xf numFmtId="3" fontId="34" fillId="8" borderId="0" xfId="0" applyNumberFormat="1" applyFont="1" applyFill="1" applyAlignment="1">
      <alignment horizontal="center" vertical="center"/>
    </xf>
    <xf numFmtId="3" fontId="34" fillId="8" borderId="3" xfId="0" applyNumberFormat="1" applyFont="1" applyFill="1" applyBorder="1" applyAlignment="1">
      <alignment horizontal="center" vertical="center"/>
    </xf>
    <xf numFmtId="3" fontId="21" fillId="8" borderId="0" xfId="0" applyNumberFormat="1" applyFont="1" applyFill="1" applyAlignment="1">
      <alignment horizontal="center" vertical="center" wrapText="1"/>
    </xf>
    <xf numFmtId="0" fontId="0" fillId="8" borderId="0" xfId="0" applyFill="1" applyBorder="1" applyAlignment="1"/>
    <xf numFmtId="169" fontId="0" fillId="8" borderId="0" xfId="1" applyNumberFormat="1" applyFont="1" applyFill="1" applyBorder="1" applyAlignment="1"/>
    <xf numFmtId="0" fontId="0" fillId="8" borderId="1" xfId="0" applyFill="1" applyBorder="1" applyAlignment="1"/>
    <xf numFmtId="3" fontId="14" fillId="8" borderId="0" xfId="0" applyNumberFormat="1" applyFont="1" applyFill="1" applyAlignment="1">
      <alignment horizontal="center" vertical="center"/>
    </xf>
    <xf numFmtId="0" fontId="14" fillId="8" borderId="6" xfId="0" applyFont="1" applyFill="1" applyBorder="1" applyAlignment="1">
      <alignment vertical="center"/>
    </xf>
    <xf numFmtId="3" fontId="14" fillId="8" borderId="0" xfId="0" applyNumberFormat="1" applyFont="1" applyFill="1" applyAlignment="1">
      <alignment vertical="center"/>
    </xf>
  </cellXfs>
  <cellStyles count="26">
    <cellStyle name="Comma" xfId="12" builtinId="3"/>
    <cellStyle name="Comma 2" xfId="2"/>
    <cellStyle name="Comma 3" xfId="18"/>
    <cellStyle name="Comma 3 2 2" xfId="15"/>
    <cellStyle name="Comma 7" xfId="23"/>
    <cellStyle name="Currency 2" xfId="19"/>
    <cellStyle name="Hyperlink" xfId="7" builtinId="8"/>
    <cellStyle name="Hyperlink 2 2" xfId="11"/>
    <cellStyle name="Hyperlink 4" xfId="9"/>
    <cellStyle name="Normal" xfId="0" builtinId="0"/>
    <cellStyle name="Normal 10 2" xfId="13"/>
    <cellStyle name="Normal 18" xfId="10"/>
    <cellStyle name="Normal 2" xfId="3"/>
    <cellStyle name="Normal 3" xfId="20"/>
    <cellStyle name="Normal 4" xfId="24"/>
    <cellStyle name="Normal 48" xfId="5"/>
    <cellStyle name="Normal 5 2 2" xfId="14"/>
    <cellStyle name="Normal 51" xfId="6"/>
    <cellStyle name="Normal 55" xfId="8"/>
    <cellStyle name="Normal 58" xfId="4"/>
    <cellStyle name="Normal 98" xfId="22"/>
    <cellStyle name="Percent" xfId="1" builtinId="5"/>
    <cellStyle name="Percent 2" xfId="17"/>
    <cellStyle name="Percent 2 2 10 2" xfId="21"/>
    <cellStyle name="Percent 3" xfId="25"/>
    <cellStyle name="Percent 3 2 2" xfId="16"/>
  </cellStyles>
  <dxfs count="0"/>
  <tableStyles count="0" defaultTableStyle="TableStyleMedium2" defaultPivotStyle="PivotStyleLight16"/>
  <colors>
    <mruColors>
      <color rgb="FFCCCCFF"/>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4.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externalLink" Target="externalLinks/externalLink7.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externalLink" Target="externalLinks/externalLink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0.xml"/><Relationship Id="rId5" Type="http://schemas.openxmlformats.org/officeDocument/2006/relationships/worksheet" Target="worksheets/sheet5.xml"/><Relationship Id="rId15" Type="http://schemas.openxmlformats.org/officeDocument/2006/relationships/externalLink" Target="externalLinks/externalLink1.xml"/><Relationship Id="rId23" Type="http://schemas.openxmlformats.org/officeDocument/2006/relationships/externalLink" Target="externalLinks/externalLink9.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8.xml"/><Relationship Id="rId27"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xdr:col>
      <xdr:colOff>38100</xdr:colOff>
      <xdr:row>121</xdr:row>
      <xdr:rowOff>101600</xdr:rowOff>
    </xdr:from>
    <xdr:to>
      <xdr:col>5</xdr:col>
      <xdr:colOff>199390</xdr:colOff>
      <xdr:row>144</xdr:row>
      <xdr:rowOff>184150</xdr:rowOff>
    </xdr:to>
    <xdr:sp macro="" textlink="">
      <xdr:nvSpPr>
        <xdr:cNvPr id="3" name="Left Brace 2">
          <a:extLst>
            <a:ext uri="{FF2B5EF4-FFF2-40B4-BE49-F238E27FC236}">
              <a16:creationId xmlns:a16="http://schemas.microsoft.com/office/drawing/2014/main" xmlns="" id="{00000000-0008-0000-0300-000003000000}"/>
            </a:ext>
          </a:extLst>
        </xdr:cNvPr>
        <xdr:cNvSpPr/>
      </xdr:nvSpPr>
      <xdr:spPr>
        <a:xfrm>
          <a:off x="2851150" y="24314150"/>
          <a:ext cx="1189990" cy="4610100"/>
        </a:xfrm>
        <a:prstGeom prst="leftBrace">
          <a:avLst>
            <a:gd name="adj1" fmla="val 8333"/>
            <a:gd name="adj2" fmla="val 42837"/>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20</xdr:col>
      <xdr:colOff>317500</xdr:colOff>
      <xdr:row>121</xdr:row>
      <xdr:rowOff>25400</xdr:rowOff>
    </xdr:from>
    <xdr:to>
      <xdr:col>22</xdr:col>
      <xdr:colOff>146049</xdr:colOff>
      <xdr:row>145</xdr:row>
      <xdr:rowOff>0</xdr:rowOff>
    </xdr:to>
    <xdr:grpSp>
      <xdr:nvGrpSpPr>
        <xdr:cNvPr id="2" name="Group 1">
          <a:extLst>
            <a:ext uri="{FF2B5EF4-FFF2-40B4-BE49-F238E27FC236}">
              <a16:creationId xmlns:a16="http://schemas.microsoft.com/office/drawing/2014/main" xmlns="" id="{00000000-0008-0000-0700-000002000000}"/>
            </a:ext>
          </a:extLst>
        </xdr:cNvPr>
        <xdr:cNvGrpSpPr/>
      </xdr:nvGrpSpPr>
      <xdr:grpSpPr>
        <a:xfrm flipH="1">
          <a:off x="15938500" y="23647400"/>
          <a:ext cx="1590674" cy="4546600"/>
          <a:chOff x="149532" y="20538281"/>
          <a:chExt cx="1088719" cy="1964532"/>
        </a:xfrm>
      </xdr:grpSpPr>
      <xdr:sp macro="" textlink="">
        <xdr:nvSpPr>
          <xdr:cNvPr id="3" name="Left Brace 2">
            <a:extLst>
              <a:ext uri="{FF2B5EF4-FFF2-40B4-BE49-F238E27FC236}">
                <a16:creationId xmlns:a16="http://schemas.microsoft.com/office/drawing/2014/main" xmlns="" id="{00000000-0008-0000-0700-000003000000}"/>
              </a:ext>
            </a:extLst>
          </xdr:cNvPr>
          <xdr:cNvSpPr/>
        </xdr:nvSpPr>
        <xdr:spPr>
          <a:xfrm>
            <a:off x="964407" y="20538281"/>
            <a:ext cx="273844" cy="1964532"/>
          </a:xfrm>
          <a:prstGeom prst="leftBrace">
            <a:avLst/>
          </a:prstGeom>
          <a:ln w="31750"/>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sp macro="" textlink="">
        <xdr:nvSpPr>
          <xdr:cNvPr id="4" name="Rectangle 3">
            <a:extLst>
              <a:ext uri="{FF2B5EF4-FFF2-40B4-BE49-F238E27FC236}">
                <a16:creationId xmlns:a16="http://schemas.microsoft.com/office/drawing/2014/main" xmlns="" id="{00000000-0008-0000-0700-000004000000}"/>
              </a:ext>
            </a:extLst>
          </xdr:cNvPr>
          <xdr:cNvSpPr/>
        </xdr:nvSpPr>
        <xdr:spPr>
          <a:xfrm>
            <a:off x="149532" y="21300281"/>
            <a:ext cx="838690" cy="705721"/>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t>Bridge</a:t>
            </a:r>
            <a:r>
              <a:rPr lang="en-US" sz="1100" baseline="0"/>
              <a:t> &amp; Test Year Forecast - see method used in row 147</a:t>
            </a:r>
            <a:endParaRPr lang="en-US" sz="1100"/>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CCalhoun\Local%20Settings\Temporary%20Internet%20Files\Content.Outlook\EIW673TU\Documents%20and%20Settings\dferraro\Local%20Settings\Temporary%20Internet%20Files\OLKB\Dummy%20File.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OEB/OEB%20Rate%20Applications/2016%20CoS%20Rate%20Application_Working%20File/20%20Settlement%20Conference/Models/Load%20Forecast%20Variables/WNP_CHEC_Load%20Forecast_Wholesale_2014110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Z:\Orillia%20Power%20Load%20Forecast%20Data\OPDC%20Load%20Forecast_Wholesale%20-%20Load%20Displacement%20-%20WMP%20-%20Adjustments.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Applications%20Department\Department%20Applications\Application%20Review%20Process\Rec%20%231%20-%20Application%20Filing%20Requirements\Testing%20Protocols%20for%20Models%20and%20Appendices\2014%20IRM%20Rate%20Generator_V2.3_FOR%20TESTING.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OEB/OEB%20Rate%20Applications/2016%20CoS%20Rate%20Application_Working%20File/6_OEB%20Models/2015_Filing_Requirements_Chapter2_Appendices.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LDC%20FTY%20-%20LF\CostAllocation.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nts1\amar$\My%20Documents\EXCEL\COSA\COSA_Unbundling%20(MEA)\Mea_UCA_test.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Applications%20Department\Department%20Applications\Rates\2013%20Electricity%20Rates\$Models\Final%202013%20IRM%20RG.xlsm"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Home\Market%20Operations\Department%20Applications\Reports\Rates\Electricity%20Rates%20-%20Billing%20Determinants%20Database\2012%20IRM%20DEVELOPMENT\2012%20IRM%20MODEL%20(2ND%20AND%203RD).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nts1\eichsteller$\My%20Documents\EXCEL\COSA\COSA_Unbundling%20(MEA)\Mea_UCA_tes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Dummy File"/>
    </sheetNames>
    <sheetDataSet>
      <sheetData sheetId="0" refreshError="1"/>
      <sheetData sheetId="1"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LDC Info"/>
      <sheetName val="2. Customer Classes"/>
      <sheetName val="3. Consumption by Rate Class"/>
      <sheetName val="4. Customer Growth"/>
      <sheetName val="5.Variables"/>
      <sheetName val="6. WS Regression Analysis"/>
      <sheetName val="6.1 Regression Scenarios"/>
      <sheetName val="7. Weather Senstive Class"/>
      <sheetName val="8. KW and Non-Weather Sensitive"/>
      <sheetName val="9. Weather Adj LF"/>
      <sheetName val="10. CDM Adjustment"/>
      <sheetName val="10.1 CDM Allocation"/>
      <sheetName val="11. Final Load Forecast"/>
      <sheetName val="12. Analysis_ Avg Per Cust"/>
      <sheetName val="13. Analysis_Weather adj LF"/>
    </sheetNames>
    <sheetDataSet>
      <sheetData sheetId="0"/>
      <sheetData sheetId="1"/>
      <sheetData sheetId="2"/>
      <sheetData sheetId="3"/>
      <sheetData sheetId="4">
        <row r="16">
          <cell r="B16" t="str">
            <v>HDD</v>
          </cell>
        </row>
        <row r="118">
          <cell r="B118" t="str">
            <v>Employment</v>
          </cell>
        </row>
      </sheetData>
      <sheetData sheetId="5"/>
      <sheetData sheetId="6"/>
      <sheetData sheetId="7"/>
      <sheetData sheetId="8"/>
      <sheetData sheetId="9"/>
      <sheetData sheetId="10"/>
      <sheetData sheetId="11"/>
      <sheetData sheetId="12"/>
      <sheetData sheetId="13"/>
      <sheetData sheetId="1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LDC Info"/>
      <sheetName val="2. Customer Classes"/>
      <sheetName val="3. Consumption by Rate Class"/>
      <sheetName val="4. Customer Growth"/>
      <sheetName val="5.Variables"/>
      <sheetName val="6. WS Regression Analysis"/>
      <sheetName val="6.1 Regression Scenarios"/>
      <sheetName val="7. Weather Sensitive Class"/>
      <sheetName val="8. KW and Non-Weather Sensitive"/>
      <sheetName val="9. Weather Adj LF"/>
      <sheetName val="10. App.2-I LF_CDM_WF"/>
      <sheetName val="10.1 CDM Allocation"/>
      <sheetName val="11. Final Load Forecast"/>
      <sheetName val="12. Analysis_ Avg Per Cust"/>
      <sheetName val="13. Analysis_Weather adj LF"/>
    </sheetNames>
    <sheetDataSet>
      <sheetData sheetId="0"/>
      <sheetData sheetId="1"/>
      <sheetData sheetId="2"/>
      <sheetData sheetId="3"/>
      <sheetData sheetId="4">
        <row r="10">
          <cell r="B10" t="str">
            <v>HDD</v>
          </cell>
        </row>
        <row r="33">
          <cell r="B33" t="str">
            <v>CDD</v>
          </cell>
        </row>
        <row r="56">
          <cell r="B56" t="str">
            <v>Days in Month</v>
          </cell>
        </row>
        <row r="84">
          <cell r="B84" t="str">
            <v>Customer Count</v>
          </cell>
        </row>
        <row r="98">
          <cell r="B98" t="str">
            <v>GDP</v>
          </cell>
        </row>
        <row r="114">
          <cell r="B114" t="str">
            <v>HDD</v>
          </cell>
        </row>
        <row r="115">
          <cell r="B115" t="str">
            <v>CDD</v>
          </cell>
        </row>
        <row r="116">
          <cell r="B116" t="str">
            <v>Days in Month</v>
          </cell>
        </row>
        <row r="117">
          <cell r="B117" t="str">
            <v>CDM Variable</v>
          </cell>
        </row>
        <row r="118">
          <cell r="B118" t="str">
            <v>Spring Fall Flag</v>
          </cell>
        </row>
        <row r="119">
          <cell r="B119" t="str">
            <v>Customer Count</v>
          </cell>
        </row>
        <row r="120">
          <cell r="B120" t="str">
            <v>GDP</v>
          </cell>
        </row>
      </sheetData>
      <sheetData sheetId="5"/>
      <sheetData sheetId="6"/>
      <sheetData sheetId="7"/>
      <sheetData sheetId="8"/>
      <sheetData sheetId="9"/>
      <sheetData sheetId="10"/>
      <sheetData sheetId="11"/>
      <sheetData sheetId="12"/>
      <sheetData sheetId="13"/>
      <sheetData sheetId="1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rmation Sheet"/>
      <sheetName val="2. Table of Contents"/>
      <sheetName val="3. Rate Class Selection"/>
      <sheetName val="4. Current Tariff Schedule"/>
      <sheetName val="4. Hidden"/>
      <sheetName val="5. 2014 Continuity Schedule"/>
      <sheetName val="6. Billing Det. for Def-Var"/>
      <sheetName val="6. hidden"/>
      <sheetName val="7. Allocating Def-Var Balances"/>
      <sheetName val="8. Calculation of Def-Var RR"/>
      <sheetName val="9. Rev2Cost_GDPIPI"/>
      <sheetName val="9. hidden"/>
      <sheetName val="10. Other Charges &amp; LF"/>
      <sheetName val="11. Proposed Rates"/>
      <sheetName val="11. Hidden"/>
      <sheetName val="12. Summary Sheet"/>
      <sheetName val="13. Final Tariff Schedule"/>
      <sheetName val="14. Bill Impacts"/>
      <sheetName val="14. Bill Impacts1"/>
      <sheetName val="lists"/>
      <sheetName val="2016 List"/>
    </sheetNames>
    <sheetDataSet>
      <sheetData sheetId="0"/>
      <sheetData sheetId="1"/>
      <sheetData sheetId="2">
        <row r="19">
          <cell r="B19" t="str">
            <v>UNMETERED SCATTERED LOAD</v>
          </cell>
        </row>
        <row r="20">
          <cell r="B20" t="str">
            <v>RESIDENTIAL URBAN</v>
          </cell>
        </row>
        <row r="21">
          <cell r="B21" t="str">
            <v>microFIT</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Table of Contents"/>
      <sheetName val="COS Flowchart"/>
      <sheetName val="List of Key References"/>
      <sheetName val="App.2-AA_Capital Projects"/>
      <sheetName val="App.2-AB_Capital Expenditures"/>
      <sheetName val="App. 2-AC_Customer Engagement"/>
      <sheetName val="App.2-B_Acct Instructions"/>
      <sheetName val="App.2-BA_Fixed Asset Cont"/>
      <sheetName val="Appendix 2-BB Service Life  "/>
      <sheetName val="App.2-CA_OldCGAAP_DepExp_2012"/>
      <sheetName val="App.2-CB_NewCGAAP_DepExp_2012"/>
      <sheetName val="App.2-CC_NewCGAAP_DepExp_2013"/>
      <sheetName val="App.2-CD_MIFRS_DepExp_2014"/>
      <sheetName val="App.2-CE_MIFRS_DepExp_2015"/>
      <sheetName val="App.2-CF_OldCGAAP_DepExp_2013"/>
      <sheetName val="App.2-CG_NewCGAAP_DepExp_2013"/>
      <sheetName val="App.2-CH_MIFRS_DepExp_2014"/>
      <sheetName val="App.2-CI MIFRS_DepExp_2015"/>
      <sheetName val="App.2-D_Overhead"/>
      <sheetName val="App.2-EA_1575 (2015)"/>
      <sheetName val="App.2-EB_Account 1576 (2012)"/>
      <sheetName val="App.2-EC_Account 1576 (2013)"/>
      <sheetName val="App.2-FA Proposed REG Invest."/>
      <sheetName val="App.2-FB Calc of REG Improvemnt"/>
      <sheetName val="App.2-FC Calc of REG Expansion"/>
      <sheetName val="App.2-FA Proposed REG Inves (2"/>
      <sheetName val="App.2-FB Calc of REG Improv (2"/>
      <sheetName val="App.2-FC Calc of REG Expans (2"/>
      <sheetName val="App.2-G SQI"/>
      <sheetName val="App.2-H_Other_Oper_Rev"/>
      <sheetName val="App.2-I LF_CDM_WF_OLD"/>
      <sheetName val="App.2-I LF_CDM_WF"/>
      <sheetName val="App.2-IA_Act_Frcst_Data"/>
      <sheetName val="App.2-JA_OM&amp;A_Summary_Analys"/>
      <sheetName val="App.2-JB_OM&amp;A_Cost _Drivers"/>
      <sheetName val="App.2-JC_OMA Programs"/>
      <sheetName val="App.2-K_Employee Costs"/>
      <sheetName val="App.2-L_OM&amp;A_per_Cust_FTEE"/>
      <sheetName val="App.2-M_Regulatory_Costs"/>
      <sheetName val="App.2-N_Corp_Cost_Allocation"/>
      <sheetName val="App.2-OA Capital Structure"/>
      <sheetName val="App.2-OB_Debt Instruments"/>
      <sheetName val="App.2-P_Cost_Allocation"/>
      <sheetName val="App.2-Q_Cost of Serv. Emb. Dx"/>
      <sheetName val="App.2-R_Loss Factors"/>
      <sheetName val="App.2-S_Stranded Meters"/>
      <sheetName val="App.2-TA_1592_Tax_Variance"/>
      <sheetName val="App.2-TB_1592_HST-OVAT"/>
      <sheetName val="App.2-U_IFRS Transition Costs"/>
      <sheetName val="App.2-V_Rev_Reconciliation"/>
      <sheetName val="App.2-W_Bill Impacts"/>
      <sheetName val="App.2-Y_MIFRS Summary Impacts"/>
      <sheetName val="App. 2-Z_Tariff"/>
      <sheetName val="lists"/>
      <sheetName val="lists2"/>
      <sheetName val="Sheet19"/>
      <sheetName val="Sheet1"/>
    </sheetNames>
    <sheetDataSet>
      <sheetData sheetId="0">
        <row r="16">
          <cell r="E16">
            <v>0</v>
          </cell>
        </row>
        <row r="24">
          <cell r="E24">
            <v>0</v>
          </cell>
        </row>
        <row r="26">
          <cell r="E26" t="str">
            <v/>
          </cell>
        </row>
        <row r="28">
          <cell r="E28">
            <v>0</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row r="1">
          <cell r="A1" t="str">
            <v>DISTRIBUTED GENERATION [DGEN]</v>
          </cell>
          <cell r="I1" t="str">
            <v>A Standby Service Charge will be applied for a month where standby power is not provided. The applicable rate is the approved Distribution Volumetric Rate of the applicable service class and is applied to gross metered demand or contracted amount, whichever is greater. A monthly administration charge of $200, for simple metering arrangements, or $500, for complex metering arrangements, will also be applied.</v>
          </cell>
          <cell r="Z1" t="str">
            <v>Account History</v>
          </cell>
          <cell r="AA1" t="str">
            <v>Account set up charge/change of occupancy charge (plus credit agency costs if applicable)</v>
          </cell>
        </row>
        <row r="2">
          <cell r="A2" t="str">
            <v>EMBEDDED DISTRIBUTOR</v>
          </cell>
          <cell r="I2" t="str">
            <v>Distribution Volumetric Rate</v>
          </cell>
          <cell r="L2" t="str">
            <v>Total Loss Factor – Primary Metered Customer</v>
          </cell>
          <cell r="N2" t="str">
            <v>$</v>
          </cell>
          <cell r="Z2" t="str">
            <v>Account set up charge/change of occupancy charge</v>
          </cell>
          <cell r="AA2" t="str">
            <v>Administrative Billing Charge</v>
          </cell>
        </row>
        <row r="3">
          <cell r="A3" t="str">
            <v>EMBEDDED DISTRIBUTOR</v>
          </cell>
          <cell r="I3" t="str">
            <v>Distribution Volumetric Rate - $/kW of contracted amount</v>
          </cell>
          <cell r="L3" t="str">
            <v>Total Loss Factor – Primary Metered Customer &lt; 5,000 kW</v>
          </cell>
          <cell r="N3" t="str">
            <v>$/kWh</v>
          </cell>
          <cell r="Z3" t="str">
            <v>Account set up charge/change of occupancy charge (plus credit agency costs if applicable – Residential)</v>
          </cell>
          <cell r="AA3" t="str">
            <v>Bell Canada Pole Rentals</v>
          </cell>
        </row>
        <row r="4">
          <cell r="A4" t="str">
            <v>FARMS - SINGLE PHASE ENERGY-BILLED [F1]</v>
          </cell>
          <cell r="I4" t="str">
            <v>Distribution Wheeling Service Rate</v>
          </cell>
          <cell r="L4" t="str">
            <v>Total Loss Factor – Primary Metered Customer &gt; 5,000 kW</v>
          </cell>
          <cell r="N4" t="str">
            <v>$/kW</v>
          </cell>
          <cell r="Z4" t="str">
            <v>Account set up charge/change of occupancy charge (plus credit agency costs if applicable)</v>
          </cell>
          <cell r="AA4" t="str">
            <v>Clearance Pole Attachment charge $/pole/year</v>
          </cell>
        </row>
        <row r="5">
          <cell r="A5" t="str">
            <v>FARMS - THREE PHASE ENERGY-BILLED [F3]</v>
          </cell>
          <cell r="I5" t="str">
            <v>Electricity Rate</v>
          </cell>
          <cell r="L5" t="str">
            <v>Total Loss Factor – Secondary Metered Customer</v>
          </cell>
          <cell r="N5" t="str">
            <v>$/kVA</v>
          </cell>
          <cell r="Z5" t="str">
            <v>Arrears certificate</v>
          </cell>
          <cell r="AA5" t="str">
            <v>Collection of account charge – no disconnection</v>
          </cell>
        </row>
        <row r="6">
          <cell r="A6" t="str">
            <v>GENERAL SERVICE - COMMERCIAL</v>
          </cell>
          <cell r="I6" t="str">
            <v>Electricity Rate - All Additional kWh</v>
          </cell>
          <cell r="L6" t="str">
            <v>Total Loss Factor – Secondary Metered Customer &lt; 5,000 kW</v>
          </cell>
          <cell r="Z6" t="str">
            <v>Arrears certificate (credit reference)</v>
          </cell>
          <cell r="AA6" t="str">
            <v>Collection of account charge – no disconnection – after regular hours</v>
          </cell>
        </row>
        <row r="7">
          <cell r="A7" t="str">
            <v>GENERAL SERVICE - INSTITUTIONAL</v>
          </cell>
          <cell r="I7" t="str">
            <v>Electricity Rate - First 250 kWh</v>
          </cell>
          <cell r="L7">
            <v>0</v>
          </cell>
          <cell r="Z7">
            <v>0</v>
          </cell>
          <cell r="AA7">
            <v>0</v>
          </cell>
        </row>
        <row r="8">
          <cell r="A8" t="str">
            <v>GENERAL SERVICE 1,000 TO 2,999 KW</v>
          </cell>
          <cell r="I8" t="str">
            <v>Electricity Rate -All Additional kWh</v>
          </cell>
          <cell r="L8" t="str">
            <v>Total Loss Factor – Secondary Metered Customer &gt; 5,000 kW</v>
          </cell>
          <cell r="Z8" t="str">
            <v>Charge to certify cheque</v>
          </cell>
          <cell r="AA8" t="str">
            <v>Collection of account charge – no disconnection - during regular business hours</v>
          </cell>
        </row>
        <row r="9">
          <cell r="A9" t="str">
            <v>GENERAL SERVICE 1,000 TO 4,999 KW</v>
          </cell>
          <cell r="I9" t="str">
            <v>Electricity Rate First 1,000 kWh</v>
          </cell>
          <cell r="L9" t="str">
            <v>Distribution Loss Factor - Secondary Metered Customer &lt; 5,000 kW</v>
          </cell>
          <cell r="Z9" t="str">
            <v>Collection of Account Charge – No Disconnection</v>
          </cell>
          <cell r="AA9" t="str">
            <v>Collection of account charge – no disconnection – during regular hours</v>
          </cell>
        </row>
        <row r="10">
          <cell r="A10" t="str">
            <v>GENERAL SERVICE 1,000 TO 4,999 KW - INTERVAL METERS</v>
          </cell>
          <cell r="I10" t="str">
            <v>Electricity Rate First 25,000 kWh</v>
          </cell>
          <cell r="L10" t="str">
            <v>Distribution Loss Factor - Secondary Metered Customer &gt; 5,000 kW</v>
          </cell>
          <cell r="Z10" t="str">
            <v>Credit Card Convenience Charge</v>
          </cell>
          <cell r="AA10" t="str">
            <v>Collection/Disconnection/Load Limiter/Reconnection – if in Community</v>
          </cell>
        </row>
        <row r="11">
          <cell r="A11" t="str">
            <v>GENERAL SERVICE 1,000 TO 4,999 KW (CO-GENERATION)</v>
          </cell>
          <cell r="I11" t="str">
            <v>Electricity Rate First 6,000 kWh</v>
          </cell>
          <cell r="L11" t="str">
            <v>Distribution Loss Factor - Primary Metered Customer &lt; 5,000 kW</v>
          </cell>
          <cell r="Z11" t="str">
            <v>Credit check (plus credit agency costs)</v>
          </cell>
          <cell r="AA11" t="str">
            <v>Credit Card Convenience Charge</v>
          </cell>
        </row>
        <row r="12">
          <cell r="A12" t="str">
            <v>GENERAL SERVICE 1,500 TO 4,999 KW</v>
          </cell>
          <cell r="I12" t="str">
            <v>Electricity Rate Next 1,500 kWh</v>
          </cell>
          <cell r="L12" t="str">
            <v>Distribution Loss Factor - Primary Metered Customer &gt; 5,000 kW</v>
          </cell>
          <cell r="Z12" t="str">
            <v>Credit reference Letter</v>
          </cell>
          <cell r="AA12" t="str">
            <v>Disconnect/Reconnect at meter – after regular hours</v>
          </cell>
        </row>
        <row r="13">
          <cell r="A13" t="str">
            <v>GENERAL SERVICE 2,500 TO 4,999 KW</v>
          </cell>
          <cell r="I13" t="str">
            <v>General Service 1,500 to 4,999 kW customer</v>
          </cell>
          <cell r="L13">
            <v>0</v>
          </cell>
          <cell r="Z13">
            <v>0</v>
          </cell>
          <cell r="AA13">
            <v>0</v>
          </cell>
        </row>
        <row r="14">
          <cell r="A14" t="str">
            <v>GENERAL SERVICE 3,000 TO 4,999 KW</v>
          </cell>
          <cell r="I14" t="str">
            <v>General Service 50 to 1,499 kW customer</v>
          </cell>
          <cell r="L14" t="str">
            <v>Total Loss Factor - Embedded Distributor</v>
          </cell>
          <cell r="Z14" t="str">
            <v>Credit reference/credit check (plus credit agency costs – General Service)</v>
          </cell>
          <cell r="AA14" t="str">
            <v>Disconnect/Reconnect at meter – during regular hours</v>
          </cell>
        </row>
        <row r="15">
          <cell r="A15" t="str">
            <v>GENERAL SERVICE 3,000 TO 4,999 KW - INTERMEDIATE USE</v>
          </cell>
          <cell r="I15" t="str">
            <v>General Service Large Use customer</v>
          </cell>
          <cell r="L15" t="str">
            <v>Total Loss Factor – Embedded Distributor – Hydro One Networks Inc.</v>
          </cell>
          <cell r="Z15" t="str">
            <v>Credit Reference/credit check (plus credit agency costs)</v>
          </cell>
          <cell r="AA15" t="str">
            <v>Disconnect/Reconnect at pole – after regular hours</v>
          </cell>
        </row>
        <row r="16">
          <cell r="A16" t="str">
            <v>GENERAL SERVICE 3,000 TO 4,999 KW - INTERVAL METERED</v>
          </cell>
          <cell r="I16" t="str">
            <v>Green Energy Act Initiatives Funding Adder - effective until the date of the next cost of service-based rate order</v>
          </cell>
          <cell r="Z16" t="str">
            <v>Dispute Test – Commercial self contained -- MC</v>
          </cell>
          <cell r="AA16" t="str">
            <v>Disconnect/Reconnect at pole – during regular hours</v>
          </cell>
        </row>
        <row r="17">
          <cell r="A17" t="str">
            <v>GENERAL SERVICE 3,000 TO 4,999 KW - TIME OF USE</v>
          </cell>
          <cell r="I17" t="str">
            <v>Green Energy Act Plan Funding Adder</v>
          </cell>
          <cell r="Z17" t="str">
            <v>Dispute Test – Commercial TT -- MC</v>
          </cell>
          <cell r="AA17" t="str">
            <v>Disconnect/Reconnect Charge – At Meter – After Hours</v>
          </cell>
        </row>
        <row r="18">
          <cell r="A18" t="str">
            <v>GENERAL SERVICE 50 TO 1,000 KW</v>
          </cell>
          <cell r="I18" t="str">
            <v>Green Energy Act Plan Funding Adder - effective April 1, 2013 until March 31, 2014</v>
          </cell>
          <cell r="Z18" t="str">
            <v>Dispute Test – Residential</v>
          </cell>
          <cell r="AA18" t="str">
            <v>Disconnect/Reconnect Charge – At Meter – During Regular Hours</v>
          </cell>
        </row>
        <row r="19">
          <cell r="A19" t="str">
            <v>GENERAL SERVICE 50 TO 1,000 KW - INTERVAL METERS</v>
          </cell>
          <cell r="I19" t="str">
            <v>Green Energy Act Plan Funding Adder - effective April 1, 2014 until March 31, 2015</v>
          </cell>
          <cell r="Z19" t="str">
            <v>Duplicate Invoices for previous billing</v>
          </cell>
          <cell r="AA19" t="str">
            <v>Disconnect/Reconnect Charge – At Pole – After Hours</v>
          </cell>
        </row>
        <row r="20">
          <cell r="A20" t="str">
            <v>GENERAL SERVICE 50 TO 1,000 KW - NON INTERVAL METERS</v>
          </cell>
          <cell r="I20" t="str">
            <v>ICM Rate Rider (2014) - in effect until the effective date of the next cost of service rates</v>
          </cell>
          <cell r="Z20" t="str">
            <v>Easement Letter</v>
          </cell>
          <cell r="AA20" t="str">
            <v>Disconnect/Reconnect Charge – At Pole – During Regular Hours</v>
          </cell>
        </row>
        <row r="21">
          <cell r="A21" t="str">
            <v>GENERAL SERVICE 50 TO 1,499 KW</v>
          </cell>
          <cell r="I21" t="str">
            <v>Low Voltage Service Charge</v>
          </cell>
          <cell r="Z21" t="str">
            <v>Income Tax Letter</v>
          </cell>
          <cell r="AA21" t="str">
            <v>Disconnect/Reconnect Charges for non payment of account - At Meter After Hours</v>
          </cell>
        </row>
        <row r="22">
          <cell r="A22" t="str">
            <v>GENERAL SERVICE 50 TO 1,499 KW - INTERVAL METERED</v>
          </cell>
          <cell r="I22" t="str">
            <v>Low Voltage Service Rate</v>
          </cell>
          <cell r="Z22" t="str">
            <v>Interval Meter Interrogation</v>
          </cell>
          <cell r="AA22" t="str">
            <v>Disconnect/Reconnect charges for non payment of account – at meter after regular hours</v>
          </cell>
        </row>
        <row r="23">
          <cell r="A23" t="str">
            <v>GENERAL SERVICE 50 TO 2,499 KW</v>
          </cell>
          <cell r="I23" t="str">
            <v>Low Voltage Volumetric Rate</v>
          </cell>
          <cell r="Z23" t="str">
            <v>Interval meter request change</v>
          </cell>
          <cell r="AA23" t="str">
            <v>Disconnect/Reconnect Charges for non payment of account - At Meter During Regular Hours</v>
          </cell>
        </row>
        <row r="24">
          <cell r="A24" t="str">
            <v>GENERAL SERVICE 50 TO 2,999 KW</v>
          </cell>
          <cell r="I24" t="str">
            <v>LRAM Rate Rider - Effective Until April 30, 2015</v>
          </cell>
          <cell r="Z24" t="str">
            <v>Legal letter</v>
          </cell>
          <cell r="AA24" t="str">
            <v>Disconnect/Reconnect charges for non payment of account – at meter during regular hours</v>
          </cell>
        </row>
        <row r="25">
          <cell r="A25" t="str">
            <v>GENERAL SERVICE 50 TO 2,999 KW - INTERVAL METERED</v>
          </cell>
          <cell r="I25" t="str">
            <v>Minimum Distribution Charge - per KW of maximum billing demand in the previous 11 months</v>
          </cell>
          <cell r="Z25" t="str">
            <v>Legal letter charge</v>
          </cell>
          <cell r="AA25" t="str">
            <v>Disconnect/Reconnect charges for non payment of account – at pole after regular hours</v>
          </cell>
        </row>
        <row r="26">
          <cell r="A26" t="str">
            <v>GENERAL SERVICE 50 TO 2,999 KW - TIME OF USE</v>
          </cell>
          <cell r="I26" t="str">
            <v>Monthly Distribution Wheeling Service Rate - Dedicated LV Line</v>
          </cell>
          <cell r="Z26" t="str">
            <v>Meter dispute charge plus Measurement Canada fees (if meter found correct)</v>
          </cell>
          <cell r="AA26" t="str">
            <v>Disconnect/Reconnect charges for non payment of account – at pole during regular hours</v>
          </cell>
        </row>
        <row r="27">
          <cell r="A27" t="str">
            <v>GENERAL SERVICE 50 TO 4,999 KW</v>
          </cell>
          <cell r="I27" t="str">
            <v>Monthly Distribution Wheeling Service Rate - Hydro One Networks</v>
          </cell>
          <cell r="Z27" t="str">
            <v>Notification charge</v>
          </cell>
          <cell r="AA27" t="str">
            <v>Disconnect/Reconnection for &gt;300 volts - after regular hours</v>
          </cell>
        </row>
        <row r="28">
          <cell r="A28" t="str">
            <v>GENERAL SERVICE 50 TO 4,999 KW - INTERVAL METERED</v>
          </cell>
          <cell r="I28" t="str">
            <v>Monthly Distribution Wheeling Service Rate - Shared LV Line</v>
          </cell>
          <cell r="Z28" t="str">
            <v>Pulling Post Dated Cheques</v>
          </cell>
          <cell r="AA28" t="str">
            <v>Disconnect/Reconnection for &gt;300 volts - during regular hours</v>
          </cell>
        </row>
        <row r="29">
          <cell r="A29" t="str">
            <v>GENERAL SERVICE 50 TO 4,999 KW - TIME OF USE</v>
          </cell>
          <cell r="I29" t="str">
            <v>Monthly Distribution Wheeling Service Rate - Waterloo North Hydro</v>
          </cell>
          <cell r="Z29" t="str">
            <v>Request for other billing information</v>
          </cell>
          <cell r="AA29" t="str">
            <v>Disposal of Concrete Poles</v>
          </cell>
        </row>
        <row r="30">
          <cell r="A30" t="str">
            <v>GENERAL SERVICE 50 TO 4,999 KW (COGENERATION)</v>
          </cell>
          <cell r="I30" t="str">
            <v>Rate Rider for Application of Tax Change - effective until April 30, 2015</v>
          </cell>
          <cell r="Z30" t="str">
            <v>Returned cheque (plus bank charges)</v>
          </cell>
          <cell r="AA30" t="str">
            <v>Dispute Test – Commercial TT -- MC</v>
          </cell>
        </row>
        <row r="31">
          <cell r="A31" t="str">
            <v>GENERAL SERVICE 50 TO 4,999 KW (FORMERLY TIME OF USE)</v>
          </cell>
          <cell r="I31" t="str">
            <v>Rate Rider for Application of Tax Change - effective until December 31, 2014</v>
          </cell>
          <cell r="Z31" t="str">
            <v>Returned cheque charge (plus bank charges)</v>
          </cell>
          <cell r="AA31" t="str">
            <v>Install/Remove load control device – after regular hours</v>
          </cell>
        </row>
        <row r="32">
          <cell r="A32" t="str">
            <v>GENERAL SERVICE 50 TO 499 KW</v>
          </cell>
          <cell r="I32" t="str">
            <v>Rate Rider for Application of Tax Change (2014) - effective until April 30, 2015</v>
          </cell>
          <cell r="Z32" t="str">
            <v>Special Billing Service (aggregation)</v>
          </cell>
          <cell r="AA32" t="str">
            <v>Install/Remove load control device – during regular hours</v>
          </cell>
        </row>
        <row r="33">
          <cell r="A33" t="str">
            <v>GENERAL SERVICE 50 TO 699 KW</v>
          </cell>
          <cell r="I33" t="str">
            <v>Rate Rider for Application of Tax Change (per connection) - effective until April 30, 2015</v>
          </cell>
          <cell r="Z33" t="str">
            <v>Special Billing Service (sub-metering charge per meter)</v>
          </cell>
          <cell r="AA33" t="str">
            <v>Interval Meter Interrogation</v>
          </cell>
        </row>
        <row r="34">
          <cell r="A34" t="str">
            <v>GENERAL SERVICE 50 TO 999 KW</v>
          </cell>
          <cell r="I34" t="str">
            <v>Rate Rider for CGAAP Accounting Changes (2013) - effective until April 30, 2017</v>
          </cell>
          <cell r="Z34" t="str">
            <v>Special meter reads</v>
          </cell>
          <cell r="AA34" t="str">
            <v>Interval Meter Load Management Tool Charge $/month</v>
          </cell>
        </row>
        <row r="35">
          <cell r="A35" t="str">
            <v>GENERAL SERVICE 50 TO 999 KW - INTERVAL METERED</v>
          </cell>
          <cell r="I35" t="str">
            <v>Rate Rider for Deferral/Variance Account (2012) - effective unitl April 30, 2016</v>
          </cell>
          <cell r="Z35" t="str">
            <v>Statement of Account</v>
          </cell>
          <cell r="AA35" t="str">
            <v>Interval meter request change</v>
          </cell>
        </row>
        <row r="36">
          <cell r="A36" t="str">
            <v>GENERAL SERVICE 500 TO 4,999 KW</v>
          </cell>
          <cell r="I36" t="str">
            <v>Rate Rider for Deferral/Variance Account Disposition – effective until April 30, 2015</v>
          </cell>
          <cell r="Z36" t="str">
            <v>Unprocessed Payment Charge (plus bank charges)</v>
          </cell>
          <cell r="AA36" t="str">
            <v>Late Payment – per annum</v>
          </cell>
        </row>
        <row r="37">
          <cell r="A37" t="str">
            <v>GENERAL SERVICE 700 TO 4,999 KW</v>
          </cell>
          <cell r="I37" t="str">
            <v>Rate Rider for Deferral/Variance Account Disposition (2012) - effective until April 30, 2016</v>
          </cell>
          <cell r="AA37" t="str">
            <v>Late Payment – per month</v>
          </cell>
        </row>
        <row r="38">
          <cell r="A38" t="str">
            <v>GENERAL SERVICE DEMAND BILLED (50 KW AND ABOVE) [GSD]</v>
          </cell>
          <cell r="I38" t="str">
            <v>Rate Rider for Deferral/Variance Account Disposition (2013) - effective until April 30, 2014</v>
          </cell>
          <cell r="AA38" t="str">
            <v>Layout fees</v>
          </cell>
        </row>
        <row r="39">
          <cell r="A39" t="str">
            <v>GENERAL SERVICE ENERGY BILLED (LESS THAN 50 KW) [GSE-METERED]</v>
          </cell>
          <cell r="I39" t="str">
            <v>Rate Rider for Deferral/Variance Account Disposition (2014) - effective until April 28, 2016</v>
          </cell>
          <cell r="AA39" t="str">
            <v>Meter dispute charge plus Measurement Canada fees (if meter found correct)</v>
          </cell>
        </row>
        <row r="40">
          <cell r="A40" t="str">
            <v>GENERAL SERVICE ENERGY BILLED (LESS THAN TO 50 KW) [GSE-UNMETERED]</v>
          </cell>
          <cell r="I40" t="str">
            <v>Rate Rider for Deferral/Variance Account Disposition (2014) - effective until April 30, 2015</v>
          </cell>
          <cell r="AA40" t="str">
            <v>Meter Interrogation Charge</v>
          </cell>
        </row>
        <row r="41">
          <cell r="A41" t="str">
            <v>GENERAL SERVICE EQUAL TO OR GREATER THAN 1,500 KW</v>
          </cell>
          <cell r="I41" t="str">
            <v>Rate Rider for Deferral/Variance Account Disposition (2014) - effective until Decembeer 31, 2015</v>
          </cell>
          <cell r="AA41" t="str">
            <v>Missed Service Appointment</v>
          </cell>
        </row>
        <row r="42">
          <cell r="A42" t="str">
            <v>GENERAL SERVICE EQUAL TO OR GREATER THAN 1,500 KW - INTERVAL METERED</v>
          </cell>
          <cell r="I42" t="str">
            <v>Rate Rider for Deferral/Variance Account Disposition (2014) - effective until December 30, 2015</v>
          </cell>
          <cell r="AA42" t="str">
            <v>Norfolk Pole Rentals – Billed</v>
          </cell>
        </row>
        <row r="43">
          <cell r="A43" t="str">
            <v>GENERAL SERVICE GREATER THAN 1,000 KW</v>
          </cell>
          <cell r="I43" t="str">
            <v>Rate Rider for Deferral/Variance Account Disposition (2014) - effective until December 31, 2014</v>
          </cell>
          <cell r="AA43" t="str">
            <v>Optional Interval/TOU Meter charge $/month</v>
          </cell>
        </row>
        <row r="44">
          <cell r="A44" t="str">
            <v>GENERAL SERVICE GREATER THAN 50 kW - WMP</v>
          </cell>
          <cell r="I44" t="str">
            <v>Rate Rider for Deferral/Variance Account Disposition (2014) - effective until December 31, 2015</v>
          </cell>
          <cell r="AA44" t="str">
            <v>Overtime Locate</v>
          </cell>
        </row>
        <row r="45">
          <cell r="A45" t="str">
            <v>GENERAL SERVICE INTERMEDIATE 1,000 TO 4,999 KW</v>
          </cell>
          <cell r="I45" t="str">
            <v>Rate Rider for Deferral/Variance Account Dispositon (2012) - effective until April 30, 2016</v>
          </cell>
          <cell r="AA45" t="str">
            <v>Owner Requested Disconnection/Reconnection – after regular hours</v>
          </cell>
        </row>
        <row r="46">
          <cell r="A46" t="str">
            <v>GENERAL SERVICE INTERMEDIATE RATE CLASS 1,000 TO 4,999 KW (FORMERLY GENERAL SERVICE &gt; 50 KW CUSTOMERS)</v>
          </cell>
          <cell r="I46" t="str">
            <v>Rate Rider for Disposition of Accounting Changes Under CGAAP Account 1576 - effective until April 30, 2016</v>
          </cell>
          <cell r="AA46" t="str">
            <v>Owner Requested Disconnection/Reconnection – during regular hours</v>
          </cell>
        </row>
        <row r="47">
          <cell r="A47" t="str">
            <v>GENERAL SERVICE INTERMEDIATE RATE CLASS 1,000 TO 4,999 KW (FORMERLY LARGE USE CUSTOMERS)</v>
          </cell>
          <cell r="I47" t="str">
            <v>Rate Rider for Disposition of Deferral/Variance Accounts (2010) - effective until December 31, 2014</v>
          </cell>
          <cell r="AA47" t="str">
            <v>Returned cheque (plus bank charges)</v>
          </cell>
        </row>
        <row r="48">
          <cell r="A48" t="str">
            <v>GENERAL SERVICE LESS THAN 50 KW</v>
          </cell>
          <cell r="I48" t="str">
            <v>Rate Rider for Disposition of Deferral/Variance Accounts (2011) - effective until April 30, 2015</v>
          </cell>
          <cell r="AA48" t="str">
            <v>Rural system expansion / line connection fee</v>
          </cell>
        </row>
        <row r="49">
          <cell r="A49" t="str">
            <v>GENERAL SERVICE LESS THAN 50 KW - SINGLE PHASE ENERGY-BILLED [G1]</v>
          </cell>
          <cell r="I49" t="str">
            <v>Rate Rider for Disposition of Deferral/Variance Accounts (2011) - effective until April 30, 2016</v>
          </cell>
          <cell r="AA49" t="str">
            <v>Same Day Open Trench</v>
          </cell>
        </row>
        <row r="50">
          <cell r="A50" t="str">
            <v>GENERAL SERVICE LESS THAN 50 KW - THREE PHASE ENERGY-BILLED [G3]</v>
          </cell>
          <cell r="I50" t="str">
            <v>Rate Rider for Disposition of Deferral/Variance Accounts (2012) - effective until April 30, 2014</v>
          </cell>
          <cell r="AA50" t="str">
            <v>Scheduled Day Open Trench</v>
          </cell>
        </row>
        <row r="51">
          <cell r="A51" t="str">
            <v>GENERAL SERVICE LESS THAN 50 KW - TRANSMISSION CLASS ENERGY-BILLED [T]</v>
          </cell>
          <cell r="I51" t="str">
            <v>Rate Rider for Disposition of Deferral/Variance Accounts (2012) - effective until April 30, 2015</v>
          </cell>
          <cell r="AA51" t="str">
            <v>Service call – after regular hours</v>
          </cell>
        </row>
        <row r="52">
          <cell r="A52" t="str">
            <v>GENERAL SERVICE LESS THAN 50 KW - URBAN ENERGY-BILLED [UG]</v>
          </cell>
          <cell r="I52" t="str">
            <v>Rate Rider for Disposition of Deferral/Variance Accounts (2012) - effective until April 30, 2016</v>
          </cell>
          <cell r="AA52" t="str">
            <v>Service call – customer owned equipment</v>
          </cell>
        </row>
        <row r="53">
          <cell r="A53" t="str">
            <v>GENERAL SERVICE SINGLE PHASE - G1</v>
          </cell>
          <cell r="I53" t="str">
            <v>Rate Rider for Disposition of Deferral/Variance Accounts (2012) - effective until August 31, 2014</v>
          </cell>
          <cell r="AA53" t="str">
            <v>Service Call – Customer-owned Equipment – After Regular Hours</v>
          </cell>
        </row>
        <row r="54">
          <cell r="A54" t="str">
            <v>GENERAL SERVICE THREE PHASE - G3</v>
          </cell>
          <cell r="I54" t="str">
            <v>Rate Rider for Disposition of Deferral/Variance Accounts (2012) - effective until December 31, 2015</v>
          </cell>
          <cell r="AA54" t="str">
            <v>Service Call – Customer-owned Equipment – During Regular Hours</v>
          </cell>
        </row>
        <row r="55">
          <cell r="A55" t="str">
            <v>INTERMEDIATE USERS</v>
          </cell>
          <cell r="I55" t="str">
            <v>Rate Rider for Disposition of Deferral/Variance Accounts (2012) - effective until December 31, 2016 Applicable only in the former service area of Clinton Power</v>
          </cell>
          <cell r="AA55" t="str">
            <v>Service Charge for onsite interrogation of interval meter due to customer phone line failure - required weekly until line repaired $ 6</v>
          </cell>
        </row>
        <row r="56">
          <cell r="A56" t="str">
            <v>INTERMEDIATE WITH SELF GENERATION</v>
          </cell>
          <cell r="I56" t="str">
            <v>Rate Rider for Disposition of Deferral/Variance Accounts (2012) – effective until December 31, 2016 Applicable only in the former service area of Clinton Power</v>
          </cell>
          <cell r="AA56" t="str">
            <v>Service Layout - Commercial</v>
          </cell>
        </row>
        <row r="57">
          <cell r="A57" t="str">
            <v>LARGE USE</v>
          </cell>
          <cell r="I57" t="str">
            <v>Rate Rider for Disposition of Deferral/Variance Accounts (2012) - effective until January 31, 2014</v>
          </cell>
          <cell r="AA57" t="str">
            <v>Service Layout - ResidentiaI</v>
          </cell>
        </row>
        <row r="58">
          <cell r="A58" t="str">
            <v>LARGE USE - 3TS</v>
          </cell>
          <cell r="I58" t="str">
            <v>Rate Rider for Disposition of Deferral/Variance Accounts (2012) - effective until June 30, 2014</v>
          </cell>
          <cell r="AA58" t="str">
            <v>Special Billing Service (sub-metering charge per meter)</v>
          </cell>
        </row>
        <row r="59">
          <cell r="A59" t="str">
            <v>LARGE USE - FORD ANNEX</v>
          </cell>
          <cell r="I59" t="str">
            <v>Rate Rider for Disposition of Deferral/Variance Accounts (2013) - Applicable only to Wholesale Market Participants - effective until April 30, 2015</v>
          </cell>
          <cell r="AA59" t="str">
            <v>Special meter reads</v>
          </cell>
        </row>
        <row r="60">
          <cell r="A60" t="str">
            <v>LARGE USE - REGULAR</v>
          </cell>
          <cell r="I60" t="str">
            <v>Rate Rider for Disposition of Deferral/Variance Accounts (2013) - effective until April 30, 2014</v>
          </cell>
          <cell r="AA60" t="str">
            <v>Specific Charge for Access to the Power Poles - $/pole/year</v>
          </cell>
        </row>
        <row r="61">
          <cell r="A61" t="str">
            <v>LARGE USE &gt; 5000 KW</v>
          </cell>
          <cell r="I61" t="str">
            <v>Rate Rider for Disposition of Deferral/Variance Accounts (2013) - effective until April 30, 2015</v>
          </cell>
          <cell r="AA61" t="str">
            <v>Specific Charge for Bell Canada Access to the Power Poles – per pole/year</v>
          </cell>
        </row>
        <row r="62">
          <cell r="A62" t="str">
            <v>microFIT</v>
          </cell>
          <cell r="I62" t="str">
            <v>Rate Rider for Disposition of Deferral/Variance Accounts (2013) - effective until April 30, 2015, not applicable to Wholesale Market Participants</v>
          </cell>
          <cell r="AA62" t="str">
            <v>Switching for company maintenance – Charge based on Time and Materials</v>
          </cell>
        </row>
        <row r="63">
          <cell r="A63" t="str">
            <v>RESIDENTIAL</v>
          </cell>
          <cell r="I63" t="str">
            <v>Rate Rider for Disposition of Deferral/Variance Accounts (2013) - effective until April 30, 2017</v>
          </cell>
          <cell r="AA63" t="str">
            <v>Temporary Service – Install &amp; remove – overhead – no transformer</v>
          </cell>
        </row>
        <row r="64">
          <cell r="A64" t="str">
            <v>RESIDENTIAL - HENSALL</v>
          </cell>
          <cell r="I64" t="str">
            <v>Rate Rider for Disposition of Deferral/Variance Accounts (2013) - effective until August 31, 2014</v>
          </cell>
          <cell r="AA64" t="str">
            <v>Temporary Service – Install &amp; remove – overhead – with transformer</v>
          </cell>
        </row>
        <row r="65">
          <cell r="A65" t="str">
            <v>RESIDENTIAL - HIGH DENSITY [R1]</v>
          </cell>
          <cell r="I65" t="str">
            <v>Rate Rider for Disposition of Deferral/Variance Accounts (2013) - effective until December 31, 2014</v>
          </cell>
          <cell r="AA65" t="str">
            <v>Temporary Service – Install &amp; remove – underground – no transformer</v>
          </cell>
        </row>
        <row r="66">
          <cell r="A66" t="str">
            <v>RESIDENTIAL - LOW DENSITY [R2]</v>
          </cell>
          <cell r="I66" t="str">
            <v>Rate Rider for Disposition of Deferral/Variance Accounts (2013) - effective until May 31, 2014</v>
          </cell>
          <cell r="AA66" t="str">
            <v>Temporary service install &amp; remove – overhead – no transformer</v>
          </cell>
        </row>
        <row r="67">
          <cell r="A67" t="str">
            <v>RESIDENTIAL - MEDIUM DENSITY [R1]</v>
          </cell>
          <cell r="I67" t="str">
            <v>Rate Rider for Disposition of Deferred PILs Variance Account 1562 - effective until March 31, 2016</v>
          </cell>
          <cell r="AA67" t="str">
            <v>Temporary Service Install &amp; Remove – Overhead – With Transformer</v>
          </cell>
        </row>
        <row r="68">
          <cell r="A68" t="str">
            <v>RESIDENTIAL - NORMAL DENSITY [R2]</v>
          </cell>
          <cell r="I68" t="str">
            <v>Rate Rider for Disposition of Deferred PILs Variance Account 1562 (2012) - effective until April 30, 2015</v>
          </cell>
          <cell r="AA68" t="str">
            <v>Temporary Service Install &amp; Remove – Underground – No Transformer</v>
          </cell>
        </row>
        <row r="69">
          <cell r="A69" t="str">
            <v>RESIDENTIAL - TIME OF USE</v>
          </cell>
          <cell r="I69" t="str">
            <v>Rate Rider for Disposition of Deferred PILs Variance Account 1562 (2012) - effective until April 30, 2016</v>
          </cell>
          <cell r="AA69" t="str">
            <v>Temporary service installation and removal – overhead – no transformer</v>
          </cell>
        </row>
        <row r="70">
          <cell r="A70" t="str">
            <v>RESIDENTIAL - URBAN [UR]</v>
          </cell>
          <cell r="I70" t="str">
            <v>Rate Rider for Disposition of Deferred PILs Variance Account 1562 (2nd Installment - 2012) - effective until April 30, 2016</v>
          </cell>
          <cell r="AA70" t="str">
            <v>Temporary service installation and removal – overhead – with transformer</v>
          </cell>
        </row>
        <row r="71">
          <cell r="A71" t="str">
            <v>RESIDENTIAL REGULAR</v>
          </cell>
          <cell r="I71" t="str">
            <v>Rate Rider for Disposition of Deferred PILs Variance Account 1562 (per connection) (2012) - effective until April 30, 2015</v>
          </cell>
          <cell r="AA71" t="str">
            <v>Temporary service installation and removal – underground – no transformer</v>
          </cell>
        </row>
        <row r="72">
          <cell r="A72" t="str">
            <v>RESIDENTIAL SUBURBAN</v>
          </cell>
          <cell r="I72" t="str">
            <v>Rate Rider for Disposition of Deferred PILs Variance Account 1562 (per connection) (2012) - effective until April 30, 2016</v>
          </cell>
        </row>
        <row r="73">
          <cell r="A73" t="str">
            <v>RESIDENTIAL SUBURBAN SEASONAL</v>
          </cell>
          <cell r="I73" t="str">
            <v>Rate Rider for Disposition of Global Adjustment Sub-Account (2011) - effective until April 30, 2015 Applicable only for Non-RPP Customers</v>
          </cell>
        </row>
        <row r="74">
          <cell r="A74" t="str">
            <v>RESIDENTIAL SUBURBAN YEAR ROUND</v>
          </cell>
          <cell r="I74" t="str">
            <v>Rate Rider for Disposition of Global Adjustment Sub-Account (2011) - effective until April 30, 2016 Applicable only for Non-RPP Customers</v>
          </cell>
        </row>
        <row r="75">
          <cell r="A75" t="str">
            <v>RESIDENTIAL URBAN</v>
          </cell>
          <cell r="I75" t="str">
            <v>Rate Rider for Disposition of Global Adjustment Sub-Account (2012) - effective until April 30, 2014 Applicable only for Non-RPP Customers</v>
          </cell>
        </row>
        <row r="76">
          <cell r="A76" t="str">
            <v>RESIDENTIAL URBAN YEAR-ROUND</v>
          </cell>
          <cell r="I76" t="str">
            <v>Rate Rider for Disposition of Global Adjustment Sub-Account (2012) - effective until April 30, 2015 Applicable only for Non-RPP Customers</v>
          </cell>
        </row>
        <row r="77">
          <cell r="A77" t="str">
            <v>SEASONAL RESIDENTIAL</v>
          </cell>
          <cell r="I77" t="str">
            <v>Rate Rider for Disposition of Global Adjustment Sub-Account (2012) - effective until April 30, 2015 Applicatble only for Non-RPP Customers</v>
          </cell>
        </row>
        <row r="78">
          <cell r="A78" t="str">
            <v>SEASONAL RESIDENTIAL - HIGH DENSITY [R3]</v>
          </cell>
          <cell r="I78" t="str">
            <v>Rate Rider for Disposition of Global Adjustment Sub-Account (2012) - effective until April 30, 2016 Applicable only for Non-RPP Customers</v>
          </cell>
        </row>
        <row r="79">
          <cell r="A79" t="str">
            <v>SEASONAL RESIDENTIAL - NORMAL DENSITY [R4]</v>
          </cell>
          <cell r="I79" t="str">
            <v>Rate Rider for Disposition of Global Adjustment Sub-Account (2012) - effective until January 31, 2014. Applicable only for Non-RPP Customers</v>
          </cell>
        </row>
        <row r="80">
          <cell r="A80" t="str">
            <v>SENTINEL LIGHTING</v>
          </cell>
          <cell r="I80" t="str">
            <v>Rate Rider for Disposition of Global Adjustment Sub-Account (2012) - effective until June 30, 2014 Applicable only for Non-RPP Customers</v>
          </cell>
        </row>
        <row r="81">
          <cell r="A81" t="str">
            <v>SMALL COMMERCIAL AND USL - PER CONNECTION</v>
          </cell>
          <cell r="I81" t="str">
            <v>Rate Rider for Disposition of Global Adjustment Sub-Account (2012) Applicable only for Non-RPP Customers - effective until August 31, 2014</v>
          </cell>
        </row>
        <row r="82">
          <cell r="A82" t="str">
            <v>SMALL COMMERCIAL AND USL - PER METER</v>
          </cell>
          <cell r="I82" t="str">
            <v>Rate Rider for Disposition of Global Adjustment Sub-Account (2012) Applicable only to Non-RPP Customers - effective until August 31, 2014</v>
          </cell>
        </row>
        <row r="83">
          <cell r="A83" t="str">
            <v>STANDARD A GENERAL SERVICE AIR ACCESS</v>
          </cell>
          <cell r="I83" t="str">
            <v>Rate Rider for Disposition of Global Adjustment Sub-Account (2013) - effective until April 30, 2014 Applicable only for Non-RPP Customers</v>
          </cell>
        </row>
        <row r="84">
          <cell r="A84" t="str">
            <v>STANDARD A GENERAL SERVICE ROAD/RAIL</v>
          </cell>
          <cell r="I84" t="str">
            <v>Rate Rider for Disposition of Global Adjustment Sub-Account (2013) - effective until April 30, 2015 Applicable only for Non-RPP Customers</v>
          </cell>
        </row>
        <row r="85">
          <cell r="A85" t="str">
            <v>STANDARD A GRID CONNECTED</v>
          </cell>
          <cell r="I85" t="str">
            <v>Rate Rider for Disposition of Global Adjustment Sub-Account (2013) - effective until April 30, 2015 Applicable only for Non-RPP Customers and excluding Wholesale Market Participants</v>
          </cell>
        </row>
        <row r="86">
          <cell r="A86" t="str">
            <v>STANDARD A RESIDENTIAL AIR ACCESS</v>
          </cell>
          <cell r="I86" t="str">
            <v>Rate Rider for Disposition of Global Adjustment Sub-Account (2013) - effective until April 30, 2017 Applicable only for Non-RPP Customers</v>
          </cell>
        </row>
        <row r="87">
          <cell r="A87" t="str">
            <v>STANDARD A RESIDENTIAL ROAD/RAIL</v>
          </cell>
          <cell r="I87" t="str">
            <v>Rate Rider For Disposition of Global Adjustment Sub-Account (2013) - effective until August 31, 2014 Applicable only for Non-RPP Customers</v>
          </cell>
        </row>
        <row r="88">
          <cell r="A88" t="str">
            <v>STANDBY - GENERAL SERVICE 1,000 - 5,000 KW</v>
          </cell>
          <cell r="I88" t="str">
            <v>Rate Rider for Disposition of Global Adjustment Sub-Account (2013) - effective until December 31, 2014 Applicable only for Non-RPP Customers</v>
          </cell>
        </row>
        <row r="89">
          <cell r="A89" t="str">
            <v>STANDBY - GENERAL SERVICE 50 - 1,000 KW</v>
          </cell>
          <cell r="I89" t="str">
            <v>Rate Rider for Disposition of Global Adjustment Sub-Account (2013) - effective until May 31, 2014 Applicable only for Non-RPP Customers</v>
          </cell>
        </row>
        <row r="90">
          <cell r="A90" t="str">
            <v>STANDBY - LARGE USE</v>
          </cell>
          <cell r="I90" t="str">
            <v>Rate Rider for Disposition of Global Adjustment Sub-Account (2014) - effective until December 31, 2014. Applicable only for Non-RPP - Class B Customers</v>
          </cell>
        </row>
        <row r="91">
          <cell r="A91" t="str">
            <v>STANDBY DISTRIBUTION SERVICE</v>
          </cell>
          <cell r="I91" t="str">
            <v>Rate Rider for Disposition of Global Adjustment Sub-Account (2014) - effective until December 31, 2014. Applicable only for Non-RPP Customers</v>
          </cell>
        </row>
        <row r="92">
          <cell r="A92" t="str">
            <v>STANDBY POWER</v>
          </cell>
          <cell r="I92" t="str">
            <v>Rate Rider for Disposition of Global Adjustment Sub-Account (2014) - effective until December 31, 2014. Applicable only for Non-RPP Customers - Class A Customers</v>
          </cell>
        </row>
        <row r="93">
          <cell r="A93" t="str">
            <v>STANDBY POWER - APPROVED ON AN INTERIM BASIS</v>
          </cell>
          <cell r="I93" t="str">
            <v>Rate Rider for Disposition of Global Adjustment Sub-Account (2014) - effective until December 31, 2014. Applicable only for Non-RPP Customers - Interval Metered</v>
          </cell>
        </row>
        <row r="94">
          <cell r="A94" t="str">
            <v>STANDBY POWER GENERAL SERVICE 1,500 TO 4,999 KW</v>
          </cell>
          <cell r="I94" t="str">
            <v>Rate Rider for Disposition of Global Adjustment Sub-Account (2014) - effective until December 31, 2014. Applicable only for Non-RPP Customers - Non Interval Metered</v>
          </cell>
        </row>
        <row r="95">
          <cell r="A95" t="str">
            <v>STANDBY POWER GENERAL SERVICE 50 TO 1,499 KW</v>
          </cell>
          <cell r="I95" t="str">
            <v>Rate Rider for Disposition of Post Retirement Actuarial Gain - effective until March 31, 2025</v>
          </cell>
        </row>
        <row r="96">
          <cell r="A96" t="str">
            <v>STANDBY POWER GENERAL SERVICE LARGE USE</v>
          </cell>
          <cell r="I96" t="str">
            <v>Rate Rider for Disposition of Residual Hisotrical Smart Meter Costs - effective until April 30, 2015</v>
          </cell>
        </row>
        <row r="97">
          <cell r="A97" t="str">
            <v>STREET LIGHTING</v>
          </cell>
          <cell r="I97" t="str">
            <v>Rate Rider for Disposition of Residual Hisotrical Smart Meter Costs - effective until April 30, 2017</v>
          </cell>
        </row>
        <row r="98">
          <cell r="A98" t="str">
            <v>SUB TRANSMISSION [ST]</v>
          </cell>
          <cell r="I98" t="str">
            <v>Rate Rider for Disposition of Residual Historical Smart Meter Costs - effective until April 30, 2014</v>
          </cell>
        </row>
        <row r="99">
          <cell r="A99" t="str">
            <v>UNMETERED SCATTERED LOAD</v>
          </cell>
          <cell r="I99" t="str">
            <v>Rate Rider for Disposition of Residual Historical Smart Meter Costs - effective until April 30, 2016</v>
          </cell>
        </row>
        <row r="100">
          <cell r="A100" t="str">
            <v>URBAN GENERAL SERVICE DEMAND BILLED (50 KW AND ABOVE) [UGD]</v>
          </cell>
          <cell r="I100" t="str">
            <v>Rate Rider for Disposition of Residual Historical Smart Meter Costs - effective until August 31, 2014</v>
          </cell>
        </row>
        <row r="101">
          <cell r="A101" t="str">
            <v>URBAN GENERAL SERVICE ENERGY BILLED (LESS THAN 50 KW) [UGE]</v>
          </cell>
          <cell r="I101" t="str">
            <v>Rate Rider for Disposition of Residual Historical Smart Meter Costs - effective until August 31, 2015</v>
          </cell>
        </row>
        <row r="102">
          <cell r="A102" t="str">
            <v>WESTPORT SEWAGE TREATMENT PLANT</v>
          </cell>
          <cell r="I102" t="str">
            <v>Rate Rider for Disposition of Residual Historical Smart Meter Costs - effective until December 31, 2014</v>
          </cell>
        </row>
        <row r="103">
          <cell r="A103" t="str">
            <v>YEAR-ROUND RESIDENTIAL - R2</v>
          </cell>
          <cell r="I103" t="str">
            <v>Rate Rider for Disposition of Residual Historical Smart Meter Costs – effective until December 31, 2014</v>
          </cell>
        </row>
        <row r="104">
          <cell r="I104" t="str">
            <v>Rate Rider for Disposition of Residual Historical Smart Meter Costs - effective until December 31, 2015</v>
          </cell>
        </row>
        <row r="105">
          <cell r="I105" t="str">
            <v>Rate Rider for Disposition of Residual Historical Smart Meter Costs - effective until December 31, 2016</v>
          </cell>
        </row>
        <row r="106">
          <cell r="I106" t="str">
            <v>Rate Rider for Disposition of Residual Historical Smart Meter Costs - effective until October 31, 2014</v>
          </cell>
        </row>
        <row r="107">
          <cell r="I107" t="str">
            <v>Rate Rider for Disposition of Residual Historical Smart Meter Costs - effective until September 30, 2014</v>
          </cell>
        </row>
        <row r="108">
          <cell r="I108" t="str">
            <v>Rate Rider for Disposition of Residual Historical Smart Meter Costs - Non-Interval Metered 
 - effective until April 30, 2014</v>
          </cell>
        </row>
        <row r="109">
          <cell r="I109" t="str">
            <v>Rate Rider for Disposition of Residual Historical Smart Meter Costs 2 - in effect until the effective 
 date of the next cost of service-based rate order</v>
          </cell>
        </row>
        <row r="110">
          <cell r="I110" t="str">
            <v>Rate Rider for Disposition of Residual Historical Smart Meter Costs 3 - in effect until the effective 
 date of the next cost of service-based rate order</v>
          </cell>
        </row>
        <row r="111">
          <cell r="I111" t="str">
            <v>Rate Rider for Disposition of Residual Incremental Historical Smart Meter Costs - 
 effective until August 31, 2015</v>
          </cell>
        </row>
        <row r="112">
          <cell r="I112" t="str">
            <v>Rate Rider for Disposition of Stranded Meter costs - effective until April 30, 2015</v>
          </cell>
        </row>
        <row r="113">
          <cell r="I113" t="str">
            <v>Rate Rider for Disposition of Stranded Meter Costs - effective until April 30, 2016</v>
          </cell>
        </row>
        <row r="114">
          <cell r="I114" t="str">
            <v>Rate Rider for Disposition of Stranded Meter Costs - effective until April 30, 2017</v>
          </cell>
        </row>
        <row r="115">
          <cell r="I115" t="str">
            <v>Rate Rider for Global Adjustment Sub Account Disposition - effective until April 30, 2016 Applicable only for Non RPP Customers</v>
          </cell>
        </row>
        <row r="116">
          <cell r="I116" t="str">
            <v>Rate Rider for Global Adjustment Sub-Account Disposition 
 Applicable only for Non-RPP Customers – effective until April 30, 2015</v>
          </cell>
        </row>
        <row r="117">
          <cell r="I117" t="str">
            <v>Rate Rider for Global Adjustment Sub-Account Disposition (2014) - effective until April 28, 2016 Applicable only for Non-RPP Customers</v>
          </cell>
        </row>
        <row r="118">
          <cell r="I118" t="str">
            <v>Rate Rider for Global Adjustment Sub-Account Disposition (2014) - effective until April 30, 2015 Applicable only for Non-RPP Customers</v>
          </cell>
        </row>
        <row r="119">
          <cell r="I119" t="str">
            <v>Rate Rider for Global Adjustment Sub-Account Disposition (2014) - effective until December 30, 2015 Applicable only for Non-RPP Customers</v>
          </cell>
        </row>
        <row r="120">
          <cell r="I120" t="str">
            <v>Rate Rider for Global Adjustment Sub-Account Disposition (2014) - effective until December 31, 2014 Applicable only for Non-RPP Customers</v>
          </cell>
        </row>
        <row r="121">
          <cell r="I121" t="str">
            <v>Rate Rider for Global Adjustment Sub-Account Disposition (2014) - effective until December 31, 2015 Applicable only for Non-RPP Customers</v>
          </cell>
        </row>
        <row r="122">
          <cell r="I122" t="str">
            <v>Rate Rider for Global Adjustment Sub-Account Disposition (2014) - effective until December, 2015 Applicable only for Non-RPP Customers</v>
          </cell>
        </row>
        <row r="123">
          <cell r="I123" t="str">
            <v>Rate Rider for Incremental Capital - Distribution Volumetric - effective until April 30, 2016</v>
          </cell>
        </row>
        <row r="124">
          <cell r="I124" t="str">
            <v>Rate Rider for Incremental Capital - Service Charge - effective until April 30, 2016</v>
          </cell>
        </row>
        <row r="125">
          <cell r="I125" t="str">
            <v>Rate Rider for Incremental Capital (2012) - effective until April 30, 2015</v>
          </cell>
        </row>
        <row r="126">
          <cell r="I126" t="str">
            <v>Rate Rider for Lost Revenue Adjustment Mechanism Variance Account (LRAMVA) Recovery 
 (2012 CDM Activities) - effective until April 30, 2015</v>
          </cell>
        </row>
        <row r="127">
          <cell r="I127" t="str">
            <v>Rate Rider for Recover of Residual Historical Smart meter Costs - effective until June 30, 2014</v>
          </cell>
        </row>
        <row r="128">
          <cell r="I128" t="str">
            <v>Rate Rider for Recovery of CGAAP/CWIP Differential - in effect until December 31, 2016</v>
          </cell>
        </row>
        <row r="129">
          <cell r="I129" t="str">
            <v>Rate Rider for Recovery of Foregone Revenue - effective until April 30, 2015</v>
          </cell>
        </row>
        <row r="130">
          <cell r="I130" t="str">
            <v>Rate Rider for Recovery of Forgone Revenue - effective until April 30, 2015</v>
          </cell>
        </row>
        <row r="131">
          <cell r="I131" t="str">
            <v>Rate Rider for Recovery of Forgone Revenue - effective until December 31, 2014</v>
          </cell>
        </row>
        <row r="132">
          <cell r="I132" t="str">
            <v>Rate Rider for Recovery of Green Energy Act related costs - effective until December 31, 2014</v>
          </cell>
        </row>
        <row r="133">
          <cell r="I133" t="str">
            <v>Rate Rider for Recovery of Incremental Capital (2013) - in effect until the effective date of the next cost of service-based rate order</v>
          </cell>
        </row>
        <row r="134">
          <cell r="I134" t="str">
            <v>Rate Rider for Recovery of Incremental Capital (2013) - in effect until the effective date of the
 next cost of service-based rate order</v>
          </cell>
        </row>
        <row r="135">
          <cell r="I135" t="str">
            <v>Rate Rider for Recovery of Incremental Capital (2013) (per connection) - in effect until the effective date of 
 the next cost of service-based rate order</v>
          </cell>
        </row>
        <row r="136">
          <cell r="I136" t="str">
            <v>Rate Rider for Recovery of Incremental Capital (2013) (per connection)- in effect until the effective date of the next cost of service-based rate order</v>
          </cell>
        </row>
        <row r="137">
          <cell r="I137" t="str">
            <v>Rate Rider for Recovery of Incremental Capital Costs</v>
          </cell>
        </row>
        <row r="138">
          <cell r="I138" t="str">
            <v>Rate Rider for Recovery of Incremental Capital Costs - effective until April 30, 2015</v>
          </cell>
        </row>
        <row r="139">
          <cell r="I139" t="str">
            <v>Rate Rider for Recovery of Lost Revenue Adjustment Mechanism ( LRAM)/Shared Savings Mechanism (SSM) (2012) - effective until August 31, 2014</v>
          </cell>
        </row>
        <row r="140">
          <cell r="I140" t="str">
            <v>Rate Rider for Recovery of Lost Revenue Adjustment Mechanism (2013) - effective until December 31, 2014</v>
          </cell>
        </row>
        <row r="141">
          <cell r="I141" t="str">
            <v>Rate Rider for Recovery of Lost Revenue Adjustment Mechanism (LRAM) - effective until April 30, 2016</v>
          </cell>
        </row>
        <row r="142">
          <cell r="I142" t="str">
            <v>Rate Rider for Recovery of Lost Revenue Adjustment Mechanism (LRAM) (pre-2011 CDM Activities) - effective until April 30, 2015</v>
          </cell>
        </row>
        <row r="143">
          <cell r="I143" t="str">
            <v>Rate Rider for Recovery of Lost Revenue Adjustment Mechanism (LRAM) (pre-2011 CDM Activities) (2013) - effective until April 30, 2015</v>
          </cell>
        </row>
        <row r="144">
          <cell r="I144" t="str">
            <v>Rate Rider for Recovery of Lost Revenue Adjustment Mechanism (LRAM)/Shared Savings</v>
          </cell>
        </row>
        <row r="145">
          <cell r="I145" t="str">
            <v>Rate Rider for Recovery of Lost Revenue Adjustment Mechanism (LRAM)/Shared Savings Mechanism (SSM) - effective until December 31, 2014 and applicable in the service area excluding the former service area of Clinton Power</v>
          </cell>
        </row>
        <row r="146">
          <cell r="I146" t="str">
            <v>Rate Rider for Recovery of Lost Revenue Adjustment Mechanism (LRAM)/Shared Savings Mechanism (SSM) - effective until December 31, 2014 and applicable in the service area excluding the former service areas of Clinton Power and West Perth Power</v>
          </cell>
        </row>
        <row r="147">
          <cell r="I147" t="str">
            <v>Rate Rider for Recovery of Lost Revenue Adjustment Mechanism (LRAM)/Shared Savings Mechanism (SSM) - effective until December 31, 2014 and applicable only in the former service area of Clinton Power</v>
          </cell>
        </row>
        <row r="148">
          <cell r="I148" t="str">
            <v>Rate Rider for Recovery of Lost Revenue Adjustment Mechanism (LRAM)/Shared Savings Mechanism (SSM) - effective until December 31, 2014 and applicable only in the former service area of West Perth Power</v>
          </cell>
        </row>
        <row r="149">
          <cell r="I149" t="str">
            <v>Rate Rider for Recovery of Lost Revenue Adjustment Mechanism (LRAM)/Shared Savings Mechanism (SSM) - effective until March 31, 2016</v>
          </cell>
        </row>
        <row r="150">
          <cell r="I150" t="str">
            <v>Rate Rider for Recovery of Lost Revenue Adjustment Mechanism (LRAM)/Shared Savings Mechanism (SSM) (2012) - effective until August 31, 2014</v>
          </cell>
        </row>
        <row r="151">
          <cell r="I151" t="str">
            <v>Rate Rider for Recovery of Lost Revenue Adjustment Mechanism (LRAM)/Shared Savings Mechanism (SSM) Recovery - effective until April 30, 2015</v>
          </cell>
        </row>
        <row r="152">
          <cell r="I152" t="str">
            <v>Rate Rider for Recovery of Lost Revenue Adjustment Mechanism Variance Account (LRAMVA) (2014) - effective until April 30, 2015</v>
          </cell>
        </row>
        <row r="153">
          <cell r="I153" t="str">
            <v>Rate Rider for Recovery of Residual Historical Smart Meter Costs - effective July 1, 2012 - April 30, 2016</v>
          </cell>
        </row>
        <row r="154">
          <cell r="I154" t="str">
            <v>Rate Rider for Recovery of Smart Meter Incremental Revenue Requirement - effective until the date of the next cost of service-based rate order</v>
          </cell>
        </row>
        <row r="155">
          <cell r="I155" t="str">
            <v>Rate Rider for Recovery of Smart Meter Incremental Revenue Requirement - effective until the effective date of the next cost of service-based rate order, or October 31, 2017, whichever occurs earlier</v>
          </cell>
        </row>
        <row r="156">
          <cell r="I156" t="str">
            <v>Rate Rider for Recovery of Smart Meter Incremental Revenue Requirement - in effect until the effective date of the next cost of service-based rate order</v>
          </cell>
        </row>
        <row r="157">
          <cell r="I157" t="str">
            <v>Rate Rider for Recovery of Smart Meter Incremental Revenue Requirement - Non-Interval Metered - in effect until the effective date of the next cost of service-based rate order</v>
          </cell>
        </row>
        <row r="158">
          <cell r="I158" t="str">
            <v>Rate Rider for Recovery of Smart Meter Incremental Revenue Requirements - in effect until the effective date of the next cost of service application</v>
          </cell>
        </row>
        <row r="159">
          <cell r="I159" t="str">
            <v>Rate Rider for Recovery of Smart Meter Stranded Assets - effective until April 30, 2016</v>
          </cell>
        </row>
        <row r="160">
          <cell r="I160" t="str">
            <v>Rate Rider for Recovery of Storm Damage Costs - effective until August 31, 2017</v>
          </cell>
        </row>
        <row r="161">
          <cell r="I161" t="str">
            <v>Rate Rider for Recovery of Stranded Assets - effective until April 30, 2016</v>
          </cell>
        </row>
        <row r="162">
          <cell r="I162" t="str">
            <v>Rate Rider for Recovery of Stranded Meter Assets - effective July 1, 2012 - April 30, 2016</v>
          </cell>
        </row>
        <row r="163">
          <cell r="I163" t="str">
            <v>Rate Rider for Recovery of Stranded Meter Assets – effective until April 30, 2015</v>
          </cell>
        </row>
        <row r="164">
          <cell r="I164" t="str">
            <v>Rate Rider for Recovery of Stranded Meter Assets - effective until April 30, 2016</v>
          </cell>
        </row>
        <row r="165">
          <cell r="I165" t="str">
            <v>Rate Rider for Recovery of Stranded Meter Assets - effective until April 30, 2017</v>
          </cell>
        </row>
        <row r="166">
          <cell r="I166" t="str">
            <v>Rate Rider for Recovery of Stranded Meter Assets - effective until August 31, 2015</v>
          </cell>
        </row>
        <row r="167">
          <cell r="I167" t="str">
            <v>Rate Rider for Recovery of Stranded Meter Assets - effective until August 31, 2017</v>
          </cell>
        </row>
        <row r="168">
          <cell r="I168" t="str">
            <v>Rate Rider for Recovery of Stranded Meter Assets - effective until December 31, 2014</v>
          </cell>
        </row>
        <row r="169">
          <cell r="I169" t="str">
            <v>Rate Rider for Recovery of Stranded Meter Assets - effective until December 31, 2015</v>
          </cell>
        </row>
        <row r="170">
          <cell r="I170" t="str">
            <v>Rate Rider for Recovery of Stranded Meter Assets - effective until June 30, 2016</v>
          </cell>
        </row>
        <row r="171">
          <cell r="I171" t="str">
            <v>Rate Rider for Recovery of Stranded Meter Assets - effective until March 31, 2016</v>
          </cell>
        </row>
        <row r="172">
          <cell r="I172" t="str">
            <v>Rate Rider for Recovery of Stranded Meter Assets - effective until May 31, 2014</v>
          </cell>
        </row>
        <row r="173">
          <cell r="I173" t="str">
            <v>Rate Rider for Reversal of Deferral/Variance Account Disposition (2011) - effective until April 30, 2015</v>
          </cell>
        </row>
        <row r="174">
          <cell r="I174" t="str">
            <v>Rate Rider for Smart Meter Disposition - effective until April 30, 2016</v>
          </cell>
        </row>
        <row r="175">
          <cell r="I175" t="str">
            <v>Rate Rider for Smart Meter Incremental Revenue Requirement - in effect until the effective date of the next cost of service-based rate order</v>
          </cell>
        </row>
        <row r="176">
          <cell r="I176" t="str">
            <v>Rate Rider for Smart Metering Entity Charge - effective until October 31, 2018</v>
          </cell>
        </row>
        <row r="177">
          <cell r="I177" t="str">
            <v>Rate Rider for Stranded Meter Cost Recovery - effective until April 30, 2017</v>
          </cell>
        </row>
        <row r="178">
          <cell r="I178" t="str">
            <v>Rate Rider for Tax Change</v>
          </cell>
        </row>
        <row r="179">
          <cell r="I179" t="str">
            <v>Rate Rider for Tax Change - effective until April 30, 2015</v>
          </cell>
        </row>
        <row r="180">
          <cell r="I180" t="str">
            <v>Rate Rider for Tax Change (2014) - effective until April 30, 2015</v>
          </cell>
        </row>
        <row r="181">
          <cell r="I181" t="str">
            <v>Retail Transmission Rate - Line and Transformation Connection Service Rate</v>
          </cell>
        </row>
        <row r="182">
          <cell r="I182" t="str">
            <v>Retail Transmission Rate - Line and Transformation Connection Service Rate - (less than 1,000 kW)</v>
          </cell>
        </row>
        <row r="183">
          <cell r="I183" t="str">
            <v>Retail Transmission Rate - Line and Transformation Connection Service Rate - Interval Metered</v>
          </cell>
        </row>
        <row r="184">
          <cell r="I184" t="str">
            <v>Retail Transmission Rate - Line and Transformation Connection Service Rate - Interval Metered (1,000 to 4,999 kW)</v>
          </cell>
        </row>
        <row r="185">
          <cell r="I185" t="str">
            <v>Retail Transmission Rate - Line and Transformation Connection Service Rate - Interval Metered (less than 1,000 kW)</v>
          </cell>
        </row>
        <row r="186">
          <cell r="I186" t="str">
            <v>Retail Transmission Rate - Line and Transformation Connection Service Rate - Interval Metered &lt; 1,000 kW</v>
          </cell>
        </row>
        <row r="187">
          <cell r="I187" t="str">
            <v>Retail Transmission Rate - Line and Transformation Connection Service Rate - Interval Metered &gt; 1,000 kW</v>
          </cell>
        </row>
        <row r="188">
          <cell r="I188" t="str">
            <v>Retail Transmission Rate - Line and Transformation Connection Service Rate FOR ALL SERVICE AREAS EXCEPT HENSALL</v>
          </cell>
        </row>
        <row r="189">
          <cell r="I189" t="str">
            <v>Retail Transmission Rate - Line Connection Service Rate</v>
          </cell>
        </row>
        <row r="190">
          <cell r="I190" t="str">
            <v>Retail Transmission Rate - Network Service Rate</v>
          </cell>
        </row>
        <row r="191">
          <cell r="I191" t="str">
            <v>Retail Transmission Rate - Network Service Rate - (less than 1,000 kW)</v>
          </cell>
        </row>
        <row r="192">
          <cell r="I192" t="str">
            <v>Retail Transmission Rate - Network Service Rate - Interval Metered</v>
          </cell>
        </row>
        <row r="193">
          <cell r="I193" t="str">
            <v>Retail Transmission Rate - Network Service Rate - Interval Metered (1,000 to 4,999 kW)</v>
          </cell>
        </row>
        <row r="194">
          <cell r="I194" t="str">
            <v>Retail Transmission Rate - Network Service Rate - Interval Metered (less than 1,000 kW)</v>
          </cell>
        </row>
        <row r="195">
          <cell r="I195" t="str">
            <v>Retail Transmission Rate - Network Service Rate - Interval Metered &gt; 1,000 kW</v>
          </cell>
        </row>
        <row r="196">
          <cell r="I196" t="str">
            <v>Retail Transmission Rate - Transformation Connection Service Rate</v>
          </cell>
        </row>
        <row r="197">
          <cell r="I197" t="str">
            <v>Rider for Global Adjustment Sub-Account Disposition (2012) - effective until April 30, 2016 Applicable only for Non-RPP Customers</v>
          </cell>
        </row>
        <row r="198">
          <cell r="I198" t="str">
            <v>Rural or Remote Electricity Rate Protection Charge (RRRP)</v>
          </cell>
        </row>
        <row r="199">
          <cell r="I199" t="str">
            <v>Sentinel lights (dusk-to-dawn) connected to unmetered wires will have a flat rate monthly energy charge added to the regular customer bill. Further servicing details are available in the distributor’s Conditions of Service.</v>
          </cell>
        </row>
        <row r="200">
          <cell r="I200" t="str">
            <v>Service Charge</v>
          </cell>
        </row>
        <row r="201">
          <cell r="I201" t="str">
            <v>Service Charge (per connection)</v>
          </cell>
        </row>
        <row r="202">
          <cell r="I202" t="str">
            <v>Service Charge (per customer)</v>
          </cell>
        </row>
        <row r="203">
          <cell r="I203" t="str">
            <v>Service Charge (per light)</v>
          </cell>
        </row>
        <row r="204">
          <cell r="I204" t="str">
            <v>Smart Grid Funding Adder (2014) - in effect until December 31, 2014</v>
          </cell>
        </row>
        <row r="205">
          <cell r="I205" t="str">
            <v>Smart Meter Disposition Rider</v>
          </cell>
        </row>
        <row r="206">
          <cell r="I206" t="str">
            <v>Smart Meter Entity Charge</v>
          </cell>
        </row>
        <row r="207">
          <cell r="I207" t="str">
            <v>Smart Meter Incremental Revenue Requirement Rate Rider</v>
          </cell>
        </row>
        <row r="208">
          <cell r="I208" t="str">
            <v>Standard Supply Service - Administrative Charge (if applicable)</v>
          </cell>
        </row>
        <row r="209">
          <cell r="I209" t="str">
            <v>Standby Charge - for a month where standby power is not provided, the charge is based on the applicable General Service 50 to 4,999 kW or Large Use Distribution Volumetric Charge applied to the contracted amount (e.g. Nameplate rating of generating facility).</v>
          </cell>
        </row>
        <row r="210">
          <cell r="I210" t="str">
            <v>Standby Charge - for a month where standby power is not provided. The charge is applied to the amount of reserved load transfer capacity contracted or the amount of monthly peak load displaced by a generating facility</v>
          </cell>
        </row>
        <row r="211">
          <cell r="I211" t="str">
            <v>Standby Charge - for a month where standby power is not provided. The charge is applied to the contracted amount (e.g. nameplate rating of the generation facility).</v>
          </cell>
        </row>
        <row r="212">
          <cell r="I212" t="str">
            <v>Wholesale Market Service Rate</v>
          </cell>
        </row>
      </sheetData>
      <sheetData sheetId="55"/>
      <sheetData sheetId="56"/>
      <sheetData sheetId="57"/>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ClassRevenues"/>
      <sheetName val="ExistingRatesDetails"/>
      <sheetName val="ExistingRatesSummary"/>
      <sheetName val="LoadForecastDetails"/>
      <sheetName val="LoadForecastSummary"/>
      <sheetName val="Refs"/>
    </sheetNames>
    <sheetDataSet>
      <sheetData sheetId="0" refreshError="1">
        <row r="8">
          <cell r="C8" t="str">
            <v>C:\Documents and Settings\jcochrane.ERA-INC\My Documents\2008EDR\FTYv1.3</v>
          </cell>
        </row>
      </sheetData>
      <sheetData sheetId="1"/>
      <sheetData sheetId="2"/>
      <sheetData sheetId="3"/>
      <sheetData sheetId="4"/>
      <sheetData sheetId="5"/>
      <sheetData sheetId="6" refreshError="1">
        <row r="2">
          <cell r="B2" t="str">
            <v>Horizon_Utilities_Corporation_Detailed_CA_model_Run2.xls</v>
          </cell>
        </row>
        <row r="3">
          <cell r="B3" t="str">
            <v>'[Horizon_Utilities_Corporation_Detailed_CA_model_Run2.xls]I2 LDC class'!$C:$G</v>
          </cell>
        </row>
        <row r="4">
          <cell r="B4" t="str">
            <v>'[Horizon_Utilities_Corporation_Detailed_CA_model_Run2.xls]O1 Revenue to cost|RR'!$D$17:$W$17</v>
          </cell>
        </row>
        <row r="5">
          <cell r="B5" t="str">
            <v>Revenue Requirement (includes NI)</v>
          </cell>
        </row>
        <row r="6">
          <cell r="B6">
            <v>92033309.222477198</v>
          </cell>
        </row>
        <row r="7">
          <cell r="B7" t="str">
            <v>'[Horizon_Utilities_Corporation_Detailed_CA_model_Run2.xls]O1 Revenue to cost|RR'!$B:$W</v>
          </cell>
        </row>
        <row r="8">
          <cell r="B8">
            <v>498976676.05552793</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LOBs"/>
      <sheetName val="Financials"/>
      <sheetName val="Loads"/>
      <sheetName val="Classify"/>
      <sheetName val="Allocate"/>
      <sheetName val="F&amp;C"/>
      <sheetName val="Summary"/>
      <sheetName val="Macros"/>
      <sheetName val="Module1"/>
    </sheetNames>
    <sheetDataSet>
      <sheetData sheetId="0"/>
      <sheetData sheetId="1"/>
      <sheetData sheetId="2" refreshError="1">
        <row r="1">
          <cell r="A1" t="str">
            <v>LDC Name</v>
          </cell>
        </row>
        <row r="76">
          <cell r="E76">
            <v>36161</v>
          </cell>
        </row>
      </sheetData>
      <sheetData sheetId="3"/>
      <sheetData sheetId="4"/>
      <sheetData sheetId="5"/>
      <sheetData sheetId="6"/>
      <sheetData sheetId="7"/>
      <sheetData sheetId="8" refreshError="1"/>
      <sheetData sheetId="9"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rmation Sheet"/>
      <sheetName val="2. Table of Contents"/>
      <sheetName val="3. Rate Class Selection"/>
      <sheetName val="4. Current Tariff Schedule"/>
      <sheetName val="4. Hidden"/>
      <sheetName val="5. 2013 Continuity Schedule"/>
      <sheetName val="6. Billing Det. for Def-Var"/>
      <sheetName val="6. hidden"/>
      <sheetName val="7. Allocating Def-Var Balances"/>
      <sheetName val="8. Calculation of Def-Var RR"/>
      <sheetName val="9. Rev2Cost_GDPIPI"/>
      <sheetName val="9. hidden"/>
      <sheetName val="10. Other Charges &amp; LF"/>
      <sheetName val="11. Proposed Rates"/>
      <sheetName val="12. Summary Sheet"/>
      <sheetName val="13. Final Tariff Schedule"/>
      <sheetName val="14. Bill Impacts"/>
      <sheetName val="list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1">
          <cell r="AM1" t="str">
            <v>Algoma Power Inc.</v>
          </cell>
        </row>
        <row r="2">
          <cell r="AM2" t="str">
            <v>Atikokan Hydro Inc.</v>
          </cell>
        </row>
        <row r="3">
          <cell r="AM3" t="str">
            <v>Attawapiskat Power Corporation</v>
          </cell>
        </row>
        <row r="4">
          <cell r="AM4" t="str">
            <v>Bluewater Power Distribution Corp.</v>
          </cell>
        </row>
        <row r="5">
          <cell r="AM5" t="str">
            <v>Brant County Power</v>
          </cell>
        </row>
        <row r="6">
          <cell r="AM6" t="str">
            <v>Brantford Power Inc.</v>
          </cell>
        </row>
        <row r="7">
          <cell r="AM7" t="str">
            <v>Burlington Hydro Inc.</v>
          </cell>
        </row>
        <row r="8">
          <cell r="AM8" t="str">
            <v>Cambridge and North Dumfries Hydro</v>
          </cell>
        </row>
        <row r="9">
          <cell r="AM9" t="str">
            <v>Canadian Niagara Power Inc. – Eastern Ontario Power/Fort Erie/Port Colborne</v>
          </cell>
        </row>
        <row r="10">
          <cell r="AM10" t="str">
            <v>Centre Wellington Hydro Ltd.</v>
          </cell>
        </row>
        <row r="11">
          <cell r="AM11" t="str">
            <v>Chapleau Public Utilities Corporation</v>
          </cell>
        </row>
        <row r="12">
          <cell r="AM12" t="str">
            <v>COLLUS Power Corp.</v>
          </cell>
        </row>
        <row r="13">
          <cell r="AM13" t="str">
            <v>Cooperative Hydro Embrun Inc.</v>
          </cell>
        </row>
        <row r="14">
          <cell r="AM14" t="str">
            <v>E.L.K. Energy Inc.</v>
          </cell>
        </row>
        <row r="15">
          <cell r="AM15" t="str">
            <v>Enersource Hydro Mississauga Inc.</v>
          </cell>
        </row>
        <row r="16">
          <cell r="AM16" t="str">
            <v>Entegrus Powerlines Inc.</v>
          </cell>
        </row>
        <row r="17">
          <cell r="AM17" t="str">
            <v>ENWIN Utilities Ltd.</v>
          </cell>
        </row>
        <row r="18">
          <cell r="AM18" t="str">
            <v>Erie Thames Powerlines Corp.</v>
          </cell>
        </row>
        <row r="19">
          <cell r="AM19" t="str">
            <v>Espanola Regional Hydro Distribution Corporation</v>
          </cell>
        </row>
        <row r="20">
          <cell r="AM20" t="str">
            <v>Essex Powerlines Corporation</v>
          </cell>
        </row>
        <row r="21">
          <cell r="AM21" t="str">
            <v>Festival Hydro Inc.</v>
          </cell>
        </row>
        <row r="22">
          <cell r="AM22" t="str">
            <v>Fort Albany Power Corporation</v>
          </cell>
        </row>
        <row r="23">
          <cell r="AM23" t="str">
            <v>Fort Frances Power Corporation</v>
          </cell>
        </row>
        <row r="24">
          <cell r="AM24" t="str">
            <v>Greater Sudbury Hydro Inc.</v>
          </cell>
        </row>
        <row r="25">
          <cell r="AM25" t="str">
            <v>Grimsby Power Inc.</v>
          </cell>
        </row>
        <row r="26">
          <cell r="AM26" t="str">
            <v>Guelph Hydro Electric Systems Inc.</v>
          </cell>
        </row>
        <row r="27">
          <cell r="AM27" t="str">
            <v>Haldimand County Hydro Inc.</v>
          </cell>
        </row>
        <row r="28">
          <cell r="AM28" t="str">
            <v>Halton Hills Hydro Inc.</v>
          </cell>
        </row>
        <row r="29">
          <cell r="AM29" t="str">
            <v>Hearst Power Distribution Co. Ltd.</v>
          </cell>
        </row>
        <row r="30">
          <cell r="AM30" t="str">
            <v>Horizon Utilities Corporation</v>
          </cell>
        </row>
        <row r="31">
          <cell r="AM31" t="str">
            <v>Hydro 2000 Inc.</v>
          </cell>
        </row>
        <row r="32">
          <cell r="AM32" t="str">
            <v>Hydro Hawkesbury Inc.</v>
          </cell>
        </row>
        <row r="33">
          <cell r="AM33" t="str">
            <v>Hydro One Brampton Networks Inc.</v>
          </cell>
        </row>
        <row r="34">
          <cell r="AM34" t="str">
            <v>Hydro One Networks Inc.</v>
          </cell>
        </row>
        <row r="35">
          <cell r="AM35" t="str">
            <v>Hydro One Remote Communities Inc.</v>
          </cell>
        </row>
        <row r="36">
          <cell r="AM36" t="str">
            <v>Hydro Ottawa Limited</v>
          </cell>
        </row>
        <row r="37">
          <cell r="AM37" t="str">
            <v>Innisfil Hydro Dist. Systems Limited</v>
          </cell>
        </row>
        <row r="38">
          <cell r="AM38" t="str">
            <v>Kashechewan Power Corporation</v>
          </cell>
        </row>
        <row r="39">
          <cell r="AM39" t="str">
            <v>Kenora Hydro Electric Corporation Ltd.</v>
          </cell>
        </row>
        <row r="40">
          <cell r="AM40" t="str">
            <v>Kingston Hydro Corporation</v>
          </cell>
        </row>
        <row r="41">
          <cell r="AM41" t="str">
            <v>Kitchener-Wilmot Hydro Inc.</v>
          </cell>
        </row>
        <row r="42">
          <cell r="AM42" t="str">
            <v>Lakefront Utilities Inc.</v>
          </cell>
        </row>
        <row r="43">
          <cell r="AM43" t="str">
            <v>Lakeland Power Distribution Ltd.</v>
          </cell>
        </row>
        <row r="44">
          <cell r="AM44" t="str">
            <v>London Hydro Inc.</v>
          </cell>
        </row>
        <row r="45">
          <cell r="AM45" t="str">
            <v>Midland Power Utility Corporation</v>
          </cell>
        </row>
        <row r="46">
          <cell r="AM46" t="str">
            <v>Milton Hydro Distribution Inc.</v>
          </cell>
        </row>
        <row r="47">
          <cell r="AM47" t="str">
            <v>Newmarket – Tay Power Distribution Ltd.</v>
          </cell>
        </row>
        <row r="48">
          <cell r="AM48" t="str">
            <v>Niagara Peninsula Energy Inc.</v>
          </cell>
        </row>
        <row r="49">
          <cell r="AM49" t="str">
            <v>Niagara-on-the-Lake Hydro Inc.</v>
          </cell>
        </row>
        <row r="50">
          <cell r="AM50" t="str">
            <v>Norfolk Power Distribution Ltd.</v>
          </cell>
        </row>
        <row r="51">
          <cell r="AM51" t="str">
            <v>North Bay Hydro Distribution Limited</v>
          </cell>
        </row>
        <row r="52">
          <cell r="AM52" t="str">
            <v>Northern Ontario Wires Inc.</v>
          </cell>
        </row>
        <row r="53">
          <cell r="AM53" t="str">
            <v>Oakville Hydro Distribution Inc.</v>
          </cell>
        </row>
        <row r="54">
          <cell r="AM54" t="str">
            <v>Orangeville Hydro Limited</v>
          </cell>
        </row>
        <row r="55">
          <cell r="AM55" t="str">
            <v>Orillia Power Distribution Corp.</v>
          </cell>
        </row>
        <row r="56">
          <cell r="AM56" t="str">
            <v>Oshawa PUC Networks Inc.</v>
          </cell>
        </row>
        <row r="57">
          <cell r="AM57" t="str">
            <v>Ottawa River Power Corporation</v>
          </cell>
        </row>
        <row r="58">
          <cell r="AM58" t="str">
            <v>Parry Sound Power Corporation</v>
          </cell>
        </row>
        <row r="59">
          <cell r="AM59" t="str">
            <v>Peterborough Distribution Inc.</v>
          </cell>
        </row>
        <row r="60">
          <cell r="AM60" t="str">
            <v>PowerStream Inc.</v>
          </cell>
        </row>
        <row r="61">
          <cell r="AM61" t="str">
            <v>PUC Distribution Inc.</v>
          </cell>
        </row>
        <row r="62">
          <cell r="AM62" t="str">
            <v>Renfrew Hydro Inc.</v>
          </cell>
        </row>
        <row r="63">
          <cell r="AM63" t="str">
            <v>Rideau St. Lawrence Distribution Inc.</v>
          </cell>
        </row>
        <row r="64">
          <cell r="AM64" t="str">
            <v>St. Thomas Energy Inc.</v>
          </cell>
        </row>
        <row r="65">
          <cell r="AM65" t="str">
            <v>Sioux Lookout Hydro Inc.</v>
          </cell>
        </row>
        <row r="66">
          <cell r="AM66" t="str">
            <v>Thunder Bay Hydro Electricity Distribution</v>
          </cell>
        </row>
        <row r="67">
          <cell r="AM67" t="str">
            <v>Tillsonburg Hydro Inc.</v>
          </cell>
        </row>
        <row r="68">
          <cell r="AM68" t="str">
            <v>Toronto Hydro-Electric System Limited</v>
          </cell>
        </row>
        <row r="69">
          <cell r="AM69" t="str">
            <v>Veridian Connections Inc.</v>
          </cell>
        </row>
        <row r="70">
          <cell r="AM70" t="str">
            <v>Wasaga Distribution Inc.</v>
          </cell>
        </row>
        <row r="71">
          <cell r="AM71" t="str">
            <v>Waterloo North Hydro Inc.</v>
          </cell>
        </row>
        <row r="72">
          <cell r="AM72" t="str">
            <v>Welland Hydro Electric System Corp.</v>
          </cell>
        </row>
        <row r="73">
          <cell r="AM73" t="str">
            <v>Wellington North Power Inc.</v>
          </cell>
        </row>
        <row r="74">
          <cell r="AM74" t="str">
            <v>West Coast Huron Energy Inc.</v>
          </cell>
        </row>
        <row r="75">
          <cell r="AM75" t="str">
            <v>Westario Power Inc.</v>
          </cell>
        </row>
        <row r="76">
          <cell r="AM76" t="str">
            <v>Whitby Hydro Electric Corporation</v>
          </cell>
        </row>
        <row r="77">
          <cell r="AM77" t="str">
            <v>Woodstock Hydro Services Inc.</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
      <sheetName val="2. Applicable Worksheets"/>
      <sheetName val="3. Rate Classes"/>
      <sheetName val="hidden1"/>
      <sheetName val="4. Most Recent Tariff"/>
    </sheetNames>
    <sheetDataSet>
      <sheetData sheetId="0"/>
      <sheetData sheetId="1" refreshError="1"/>
      <sheetData sheetId="2"/>
      <sheetData sheetId="3">
        <row r="1">
          <cell r="D1" t="str">
            <v>Applicable only for Non-RPP Customers</v>
          </cell>
        </row>
        <row r="2">
          <cell r="D2" t="str">
            <v>Deferral / Variance Account Rate Rider</v>
          </cell>
        </row>
        <row r="3">
          <cell r="D3" t="str">
            <v>Deferral / Variance Account Rate Rider (excl GA)</v>
          </cell>
        </row>
        <row r="4">
          <cell r="D4" t="str">
            <v>Deferral / Variance Account Rate Rider (GA) – if applicable</v>
          </cell>
        </row>
        <row r="5">
          <cell r="D5" t="str">
            <v>Distribution Volumetric Rate</v>
          </cell>
        </row>
        <row r="6">
          <cell r="D6" t="str">
            <v>Distribution Wheeling Service Rate</v>
          </cell>
        </row>
        <row r="7">
          <cell r="D7" t="str">
            <v>General Service 1,500 to 4,999 kW customer</v>
          </cell>
        </row>
        <row r="8">
          <cell r="D8" t="str">
            <v>General Service 50 to 1,499 kW customer</v>
          </cell>
        </row>
        <row r="9">
          <cell r="D9" t="str">
            <v>General Service Large Use customer</v>
          </cell>
        </row>
        <row r="10">
          <cell r="D10" t="str">
            <v>Green Energy Act Initiatives Funding Adder</v>
          </cell>
        </row>
        <row r="11">
          <cell r="D11" t="str">
            <v>Lost Revenue Adjustment Mechanism (LRAM) Recovery/Shared Savings Mechanism (SSM) Recovery Rate Rider – effective until April 30, 2012</v>
          </cell>
        </row>
        <row r="12">
          <cell r="D12" t="str">
            <v>Lost Revenue Adjustment Mechanism (LRAM) Recovery/Shared Savings Mechanism (SSM) Recovery Rate Rider (2011) – effective until April 30, 2014</v>
          </cell>
        </row>
        <row r="13">
          <cell r="D13" t="str">
            <v>Low Voltage Service Rate</v>
          </cell>
        </row>
        <row r="14">
          <cell r="D14" t="str">
            <v>Low Voltage Volumetric Rate</v>
          </cell>
        </row>
        <row r="15">
          <cell r="D15" t="str">
            <v>LRAM &amp; SSM Rate Rider</v>
          </cell>
        </row>
        <row r="16">
          <cell r="D16" t="str">
            <v>Minimum Distribution Charge – per KW of maximum billing demand in the previous 11 months</v>
          </cell>
        </row>
        <row r="17">
          <cell r="D17" t="str">
            <v>Monthly Distribution Wheeling Service Rate – Dedicated LV Line</v>
          </cell>
        </row>
        <row r="18">
          <cell r="D18" t="str">
            <v>Monthly Distribution Wheeling Service Rate – Hydro One Networks</v>
          </cell>
        </row>
        <row r="19">
          <cell r="D19" t="str">
            <v>Monthly Distribution Wheeling Service Rate – Shared LV Line</v>
          </cell>
        </row>
        <row r="20">
          <cell r="D20" t="str">
            <v>Monthly Distribution Wheeling Service Rate – Waterloo North Hydro</v>
          </cell>
        </row>
        <row r="21">
          <cell r="D21" t="str">
            <v>Rate Rider for Deferral/Variance Account Disposition – effective until April 30, 2014</v>
          </cell>
        </row>
        <row r="22">
          <cell r="D22" t="str">
            <v>Rate Rider for Deferral/Variance Account Disposition (2009) – effective until April 30, 2013</v>
          </cell>
        </row>
        <row r="23">
          <cell r="D23" t="str">
            <v>Rate Rider for Deferral/Variance Account Disposition (2010) – effective until April 30, 2012</v>
          </cell>
        </row>
        <row r="24">
          <cell r="D24" t="str">
            <v>Rate Rider for Deferral/Variance Account Disposition (2010) – effective until April 30, 2012 Applicable only for Wholesale Market Participants</v>
          </cell>
        </row>
        <row r="25">
          <cell r="D25" t="str">
            <v>Rate Rider for Deferral/Variance Account Disposition (2010) – effective until April 30, 2013</v>
          </cell>
        </row>
        <row r="26">
          <cell r="D26" t="str">
            <v>Rate Rider for Deferral/Variance Account Disposition (2010) – effective until April 30, 2014</v>
          </cell>
        </row>
        <row r="27">
          <cell r="D27" t="str">
            <v>Rate Rider for Deferral/Variance Account Disposition (2010) – effective until January 31, 2012</v>
          </cell>
        </row>
        <row r="28">
          <cell r="D28" t="str">
            <v>Rate Rider for Deferral/Variance Account Disposition (2011) – effective until April 30, 2012</v>
          </cell>
        </row>
        <row r="29">
          <cell r="D29" t="str">
            <v>Rate Rider for Deferral/Variance Account Disposition (2011) – effective until April 30, 2012 (per connection)</v>
          </cell>
        </row>
        <row r="30">
          <cell r="D30" t="str">
            <v>Rate Rider for Deferral/Variance Account Disposition (2011) – effective until April 30, 2013</v>
          </cell>
        </row>
        <row r="31">
          <cell r="D31" t="str">
            <v>Rate Rider for Deferral/Variance Account Disposition (2011) – effective until April 30, 2013 Applicable only for Wholesale Market Participants</v>
          </cell>
        </row>
        <row r="32">
          <cell r="D32" t="str">
            <v>Rate Rider for Deferral/Variance Account Disposition (2011) – effective until April 30, 2014</v>
          </cell>
        </row>
        <row r="33">
          <cell r="D33" t="str">
            <v>Rate Rider for Deferral/Variance Account Disposition (2011) – effective until April 30, 2015</v>
          </cell>
        </row>
        <row r="34">
          <cell r="D34" t="str">
            <v>Rate Rider for Deferral/Variance Account Disposition (2011) – effective until December 31, 2011</v>
          </cell>
        </row>
        <row r="35">
          <cell r="D35" t="str">
            <v>Rate Rider for Global Adjustment Sub-Account (2010) – effective until April 30, 2012 Applicable only for Non-RPP Customers</v>
          </cell>
        </row>
        <row r="36">
          <cell r="D36" t="str">
            <v>Rate Rider for Global Adjustment Sub-Account (2011) – effective until April 30, 2012 Applicable only for Non-RPP Customers</v>
          </cell>
        </row>
        <row r="37">
          <cell r="D37" t="str">
            <v>Rate Rider for Global Adjustment Sub-Account Disposition – effective until April 30, 2012 Applicable only for Non-RPP Customers</v>
          </cell>
        </row>
        <row r="38">
          <cell r="D38" t="str">
            <v>Rate Rider for Global Adjustment Sub-Account Disposition – effective until April 30, 2014 Applicable only for Non-RPP Customers</v>
          </cell>
        </row>
        <row r="39">
          <cell r="D39" t="str">
            <v>Rate Rider for Global Adjustment Sub-Account Disposition (2010 credit) – effective until April 30, 2012 Applicable only for Non-RPP Customers</v>
          </cell>
        </row>
        <row r="40">
          <cell r="D40" t="str">
            <v>Rate Rider for Global Adjustment Sub-Account Disposition (2010 recalculated) – effective until April 30, 2013 Applicable only for Non-RPP Customers</v>
          </cell>
        </row>
        <row r="41">
          <cell r="D41" t="str">
            <v>Rate Rider for Global Adjustment Sub-Account Disposition (2010) – effective until April 30, 2012 Applicable only for Non-RPP Customers</v>
          </cell>
        </row>
        <row r="42">
          <cell r="D42" t="str">
            <v>Rate Rider for Global Adjustment Sub-Account Disposition (2010) – effective until April 30, 2013 Applicable only for Non-RPP Customers</v>
          </cell>
        </row>
        <row r="43">
          <cell r="D43" t="str">
            <v>Rate Rider for Global Adjustment Sub-Account Disposition (2010) – effective until April 30, 2014 Applicable only for Non-RPP Customers</v>
          </cell>
        </row>
        <row r="44">
          <cell r="D44" t="str">
            <v>Rate Rider for Global Adjustment Sub-Account Disposition (2011) – effective until April 30, 2012 Applicable only for Non-RPP Customers</v>
          </cell>
        </row>
        <row r="45">
          <cell r="D45" t="str">
            <v>Rate Rider for Global Adjustment Sub-Account Disposition (2011) – effective until April 30, 2012 Applicable only for Non-RPP Customers (per connection)</v>
          </cell>
        </row>
        <row r="46">
          <cell r="D46" t="str">
            <v>Rate Rider for Global Adjustment Sub-Account Disposition (2011) – effective until April 30, 2013 Applicable only for Non-RPP Customers</v>
          </cell>
        </row>
        <row r="47">
          <cell r="D47" t="str">
            <v>Rate Rider for Global Adjustment Sub-Account Disposition (2011) – effective until April 30, 2013 Applicable only for Non-RPP Customers and excluding Wholesale Market Participants</v>
          </cell>
        </row>
        <row r="48">
          <cell r="D48" t="str">
            <v>Rate Rider for Global Adjustment Sub-Account Disposition (2011) – effective until April 30, 2015 Applicable only for Non-RPP Customers</v>
          </cell>
        </row>
        <row r="49">
          <cell r="D49" t="str">
            <v>Rate Rider for Lost Revenue Adjustment Mechanism (LRAM) Recovery – effective until April 30, 2012</v>
          </cell>
        </row>
        <row r="50">
          <cell r="D50" t="str">
            <v>Rate Rider for Lost Revenue Adjustment Mechanism (LRAM) Recovery/Shared Savings Mechanism (SSM) Recovery – effective until April 30, 2012</v>
          </cell>
        </row>
        <row r="51">
          <cell r="D51" t="str">
            <v>Rate Rider for Lost Revenue Adjustment Mechanism (LRAM) Recovery/Shared Savings Mechanism (SSM) Recovery – effective until April 30, 2012</v>
          </cell>
        </row>
        <row r="52">
          <cell r="D52" t="str">
            <v>Rate Rider for Lost Revenue Adjustment Mechanism (LRAM) Recovery/Shared Savings Mechanism (SSM) Recovery – effective until April 30, 2013</v>
          </cell>
        </row>
        <row r="53">
          <cell r="D53" t="str">
            <v>Rate Rider for Lost Revenue Adjustment Mechanism (LRAM) Recovery/Shared Savings Mechanism (SSM) Recovery – effective until April 30, 2014</v>
          </cell>
        </row>
        <row r="54">
          <cell r="D54" t="str">
            <v>Rate Rider for Lost Revenue Adjustment Mechanism (LRAM) Recovery/Shared Savings Mechanism (SSM) Recovery – effective until December 31, 2012</v>
          </cell>
        </row>
        <row r="55">
          <cell r="D55" t="str">
            <v>Rate Rider for Lost Revenue Adjustment Mechanism (LRAM) Recovery/Shared Savings Mechanism (SSM) Recovery (2009) – effective until April 30, 2012</v>
          </cell>
        </row>
        <row r="56">
          <cell r="D56" t="str">
            <v>Rate Rider for Lost Revenue Adjustment Mechanism (LRAM) Recovery/Shared Savings Mechanism (SSM) Recovery (2011) – effective until April 30, 2012</v>
          </cell>
        </row>
        <row r="57">
          <cell r="D57" t="str">
            <v>Rate Rider for Lost Revenue Adjustment Mechanism (LRAM) Recovery/Shared Savings Mechanism (SSM) Recovery (2011) – effective until April 30, 2013</v>
          </cell>
        </row>
        <row r="58">
          <cell r="D58" t="str">
            <v>Rate Rider for Recalculated Deferral/Variance Account Disposition (2010) – effective until April 30, 2013</v>
          </cell>
        </row>
        <row r="59">
          <cell r="D59" t="str">
            <v>Rate Rider for Recovery of Foregone Revenue – effective until December 31, 2011</v>
          </cell>
        </row>
        <row r="60">
          <cell r="D60" t="str">
            <v>Rate Rider for Recovery of Incremental Capital Costs – effective until April 30, 2012</v>
          </cell>
        </row>
        <row r="61">
          <cell r="D61" t="str">
            <v>Rate Rider for Recovery of Incremental Capital Costs – effective until April 30, 2013</v>
          </cell>
        </row>
        <row r="62">
          <cell r="D62" t="str">
            <v>Rate Rider for Recovery of Late Payment Penalty Litigation Costs – effective until April 30, 2012</v>
          </cell>
        </row>
        <row r="63">
          <cell r="D63" t="str">
            <v>Rate Rider for Recovery of Late Payment Penalty Litigation Costs – effective until April 30, 2012 (per connection)</v>
          </cell>
        </row>
        <row r="64">
          <cell r="D64" t="str">
            <v>Rate Rider for Recovery of Late Payment Penalty Litigation Costs (per customer) – effective until April 30, 2012</v>
          </cell>
        </row>
        <row r="65">
          <cell r="D65" t="str">
            <v>Rate Rider for Recovery of Stranded Meter Assets – effective until December 31, 2012</v>
          </cell>
        </row>
        <row r="66">
          <cell r="D66" t="str">
            <v>Rate Rider for Regulatory Asset Recovery – effective until April 30, 2012</v>
          </cell>
        </row>
        <row r="67">
          <cell r="D67" t="str">
            <v>Rate Rider for Regulatory Asset Recovery – effective until April 30, 2013</v>
          </cell>
        </row>
        <row r="68">
          <cell r="D68" t="str">
            <v>Rate Rider for Return of Revenue Sufficiency – effective until December 31, 2011</v>
          </cell>
        </row>
        <row r="69">
          <cell r="D69" t="str">
            <v>Rate Rider for Return of Transformer Ownership Allowance Sufficiency – effective until December 31, 2011</v>
          </cell>
        </row>
        <row r="70">
          <cell r="D70" t="str">
            <v>Rate Rider for Smart Meter Incremental Revenue Requirement – in effect until the effective date of the next cost of service application</v>
          </cell>
        </row>
        <row r="71">
          <cell r="D71" t="str">
            <v>Rate Rider for Smart Meter Variance Account Disposition – effective until April 30, 2012</v>
          </cell>
        </row>
        <row r="72">
          <cell r="D72" t="str">
            <v>Rate Rider for Smart Meter Variance Account Disposition – effective until December 31, 2011</v>
          </cell>
        </row>
        <row r="73">
          <cell r="D73" t="str">
            <v>Rate Rider for Tax Change – effective until April 20, 2012</v>
          </cell>
        </row>
        <row r="74">
          <cell r="D74" t="str">
            <v>Rate Rider for Tax Change – effective until April 30, 2012</v>
          </cell>
        </row>
        <row r="75">
          <cell r="D75" t="str">
            <v>Rate Rider for Tax Change – effective until April 30, 2012 (per connection)</v>
          </cell>
        </row>
        <row r="76">
          <cell r="D76" t="str">
            <v>Rate Rider for Tax Change – Hydro One Networks - effective until April 30, 2012</v>
          </cell>
        </row>
        <row r="77">
          <cell r="D77" t="str">
            <v>Rate Rider for Tax Change – Waterloo North Hydro – effective until April 30, 2012</v>
          </cell>
        </row>
        <row r="78">
          <cell r="D78" t="str">
            <v>Rate Rider for Tax Change Dedicated LV Line – effective until April 30, 2012</v>
          </cell>
        </row>
        <row r="79">
          <cell r="D79" t="str">
            <v>Rate Rider for Tax Change Shared LV Line – effective until April 30, 2012</v>
          </cell>
        </row>
        <row r="80">
          <cell r="D80" t="str">
            <v>Rate Rider for Z-Factor Recovery – Effective until April 30, 2012</v>
          </cell>
        </row>
        <row r="81">
          <cell r="D81" t="str">
            <v>Retail Transmission Rate – Line and Transformation Connection Service Rate</v>
          </cell>
        </row>
        <row r="82">
          <cell r="D82" t="str">
            <v>Retail Transmission Rate – Line and Transformation Connection Service Rate – Interval Metered</v>
          </cell>
        </row>
        <row r="83">
          <cell r="D83" t="str">
            <v>Retail Transmission Rate – Line and Transformation Connection Service Rate – Interval Metered &lt; 1,000 kW</v>
          </cell>
        </row>
        <row r="84">
          <cell r="D84" t="str">
            <v>Retail Transmission Rate – Line and Transformation Connection Service Rate – Interval Metered &gt; 1,000 kW</v>
          </cell>
        </row>
        <row r="85">
          <cell r="D85" t="str">
            <v>Retail Transmission Rate – Line and Transformation Connection Service Rate – Interval Metered ≥ 1,000kW</v>
          </cell>
        </row>
        <row r="86">
          <cell r="D86" t="str">
            <v>Retail Transmission Rate – Line Connection Service Rate</v>
          </cell>
        </row>
        <row r="87">
          <cell r="D87" t="str">
            <v>Retail Transmission Rate – Network Service Rate</v>
          </cell>
        </row>
        <row r="88">
          <cell r="D88" t="str">
            <v>Retail Transmission Rate – Network Service Rate – Interval Metered</v>
          </cell>
        </row>
        <row r="89">
          <cell r="D89" t="str">
            <v>Retail Transmission Rate – Network Service Rate – Interval Metered &lt; 1,000 kW Rate</v>
          </cell>
        </row>
        <row r="90">
          <cell r="D90" t="str">
            <v>Retail Transmission Rate – Network Service Rate – Interval Metered &gt; 1,000 kW</v>
          </cell>
        </row>
        <row r="91">
          <cell r="D91" t="str">
            <v>Retail Transmission Rate – Network Service Rate – Interval Metered ≥ 1,000 kW</v>
          </cell>
        </row>
        <row r="92">
          <cell r="D92" t="str">
            <v>Retail Transmission Rate – Transformation Connection Service Rate</v>
          </cell>
        </row>
        <row r="93">
          <cell r="D93" t="str">
            <v>Service Charge</v>
          </cell>
        </row>
        <row r="94">
          <cell r="D94" t="str">
            <v>Service Charge (Based on 30 day month)</v>
          </cell>
        </row>
        <row r="95">
          <cell r="D95" t="str">
            <v>Service Charge (per account)</v>
          </cell>
        </row>
        <row r="96">
          <cell r="D96" t="str">
            <v>Service Charge (per connection)</v>
          </cell>
        </row>
        <row r="97">
          <cell r="D97" t="str">
            <v>Service Charge (per customer)</v>
          </cell>
        </row>
        <row r="98">
          <cell r="D98" t="str">
            <v>Service Charge for metered account</v>
          </cell>
        </row>
        <row r="99">
          <cell r="D99" t="str">
            <v>Service Charge for Unmetered Scattered Load account (per connection)</v>
          </cell>
        </row>
        <row r="100">
          <cell r="D100" t="str">
            <v>Smart Grid Rate Adder</v>
          </cell>
        </row>
        <row r="101">
          <cell r="D101" t="str">
            <v>Smart Meter Disposition Rider 2 – effective until next cost of service application</v>
          </cell>
        </row>
        <row r="102">
          <cell r="D102" t="str">
            <v>Smart Meter Disposition Rider 3 – effective until next cost of service application</v>
          </cell>
        </row>
        <row r="103">
          <cell r="D103" t="str">
            <v>Smart Meter Funding Adder</v>
          </cell>
        </row>
        <row r="104">
          <cell r="D104" t="str">
            <v>Smart Meter Funding Adder – effective until April 30, 2012</v>
          </cell>
        </row>
        <row r="105">
          <cell r="D105" t="str">
            <v>Smart Meter Funding Adder – effective until December 31, 2011</v>
          </cell>
        </row>
        <row r="106">
          <cell r="D106" t="str">
            <v>Smart Meter Funding Adder for metered account – effective until April 30, 2012</v>
          </cell>
        </row>
        <row r="107">
          <cell r="D107" t="str">
            <v>Standby Charge – for a month where standby power is not provided. The charge is applied to the contracted amount (e.g. nameplate rating of the generation facility).</v>
          </cell>
        </row>
        <row r="108">
          <cell r="D108" t="str">
            <v>Total Loss Factor – Primary Metered Customer &lt; 5,000 kW</v>
          </cell>
        </row>
        <row r="109">
          <cell r="D109" t="str">
            <v>Total Loss Factor – Primary Metered Customer &gt; 5,000 kW</v>
          </cell>
        </row>
        <row r="110">
          <cell r="D110" t="str">
            <v>Total Loss Factor – Secondary Metered Customer &lt; 5,000 kW</v>
          </cell>
        </row>
        <row r="111">
          <cell r="D111" t="str">
            <v>Total Loss Factor – Secondary Metered Customer &gt; 5,000 kW</v>
          </cell>
        </row>
        <row r="112">
          <cell r="D112" t="str">
            <v>Transmission Rate – Network Service Rate – Interval Metered</v>
          </cell>
        </row>
      </sheetData>
      <sheetData sheetId="4"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LOBs"/>
      <sheetName val="Financials"/>
      <sheetName val="Loads"/>
      <sheetName val="Classify"/>
      <sheetName val="Allocate"/>
      <sheetName val="F&amp;C"/>
      <sheetName val="Summary"/>
      <sheetName val="Macros"/>
      <sheetName val="Module1"/>
    </sheetNames>
    <sheetDataSet>
      <sheetData sheetId="0"/>
      <sheetData sheetId="1"/>
      <sheetData sheetId="2" refreshError="1">
        <row r="1">
          <cell r="A1" t="str">
            <v>LDC Name</v>
          </cell>
        </row>
      </sheetData>
      <sheetData sheetId="3"/>
      <sheetData sheetId="4"/>
      <sheetData sheetId="5"/>
      <sheetData sheetId="6"/>
      <sheetData sheetId="7"/>
      <sheetData sheetId="8" refreshError="1"/>
      <sheetData sheetId="9"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can01.safelinks.protection.outlook.com/?url=https%3A%2F%2Fwww.timeanddate.com%2Fsun%2Fcanada%2Ftoronto&amp;data=02%7C01%7Crbucknall%40wellingtonnorthpower.com%7C86d34d9cecf84cd33b0208d7ab235d6b%7C1c3b7af9af4a4afab67951076ddca6a8%7C0%7C0%7C637166040695427811&amp;sdata=3bWtQV3vM6Atzl%2BSE5wgdb2wLEzYYxBV8q%2F5dDDqktc%3D&amp;reserved=0"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7.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O43"/>
  <sheetViews>
    <sheetView zoomScale="90" zoomScaleNormal="90" workbookViewId="0">
      <pane ySplit="2" topLeftCell="A3" activePane="bottomLeft" state="frozen"/>
      <selection pane="bottomLeft" activeCell="A8" sqref="A8"/>
    </sheetView>
  </sheetViews>
  <sheetFormatPr defaultColWidth="8.58203125" defaultRowHeight="15.5"/>
  <cols>
    <col min="1" max="1" width="28.33203125" style="94" customWidth="1"/>
    <col min="2" max="2" width="10.75" style="119" customWidth="1"/>
    <col min="3" max="3" width="10.75" style="113" bestFit="1" customWidth="1"/>
    <col min="4" max="11" width="10.75" style="94" bestFit="1" customWidth="1"/>
    <col min="12" max="12" width="10.75" style="113" bestFit="1" customWidth="1"/>
    <col min="13" max="13" width="14.83203125" style="124" customWidth="1"/>
    <col min="14" max="14" width="14.83203125" style="94" customWidth="1"/>
    <col min="15" max="15" width="12" style="94" bestFit="1" customWidth="1"/>
    <col min="16" max="16384" width="8.58203125" style="94"/>
  </cols>
  <sheetData>
    <row r="1" spans="1:15" ht="18.5">
      <c r="A1" s="95" t="s">
        <v>219</v>
      </c>
    </row>
    <row r="2" spans="1:15" ht="46.5">
      <c r="B2" s="120"/>
      <c r="C2" s="114" t="s">
        <v>116</v>
      </c>
      <c r="D2" s="104" t="s">
        <v>117</v>
      </c>
      <c r="E2" s="104" t="s">
        <v>118</v>
      </c>
      <c r="F2" s="104" t="s">
        <v>119</v>
      </c>
      <c r="G2" s="104" t="s">
        <v>120</v>
      </c>
      <c r="H2" s="104" t="s">
        <v>121</v>
      </c>
      <c r="I2" s="104" t="s">
        <v>122</v>
      </c>
      <c r="J2" s="104" t="s">
        <v>123</v>
      </c>
      <c r="K2" s="104" t="s">
        <v>124</v>
      </c>
      <c r="L2" s="121" t="s">
        <v>125</v>
      </c>
      <c r="M2" s="105" t="s">
        <v>132</v>
      </c>
      <c r="N2" s="105" t="s">
        <v>145</v>
      </c>
    </row>
    <row r="3" spans="1:15">
      <c r="B3" s="111" t="s">
        <v>217</v>
      </c>
      <c r="C3" s="115">
        <v>102608246.15384616</v>
      </c>
      <c r="D3" s="106">
        <v>105492261.53846154</v>
      </c>
      <c r="E3" s="106">
        <v>108285745.45454547</v>
      </c>
      <c r="F3" s="106">
        <v>110963046.82000002</v>
      </c>
      <c r="G3" s="106">
        <v>112203044.71589744</v>
      </c>
      <c r="H3" s="106">
        <v>112178418.50384614</v>
      </c>
      <c r="I3" s="106">
        <v>109112022.43230771</v>
      </c>
      <c r="J3" s="106">
        <v>107122742.0052381</v>
      </c>
      <c r="K3" s="106">
        <v>106666687.58000003</v>
      </c>
      <c r="L3" s="122">
        <v>104914586.14000002</v>
      </c>
      <c r="M3" s="94"/>
    </row>
    <row r="4" spans="1:15" s="202" customFormat="1" ht="13"/>
    <row r="5" spans="1:15">
      <c r="B5" s="111" t="s">
        <v>218</v>
      </c>
      <c r="C5" s="115">
        <v>102173701.10009556</v>
      </c>
      <c r="D5" s="106">
        <v>105683888.57672909</v>
      </c>
      <c r="E5" s="106">
        <v>108029545.8436258</v>
      </c>
      <c r="F5" s="106">
        <v>111196047.45573741</v>
      </c>
      <c r="G5" s="106">
        <v>112379327.29251103</v>
      </c>
      <c r="H5" s="106">
        <v>112108113.62844616</v>
      </c>
      <c r="I5" s="106">
        <v>108980114.88682649</v>
      </c>
      <c r="J5" s="106">
        <v>107482226.4768178</v>
      </c>
      <c r="K5" s="106">
        <v>106776885.49057762</v>
      </c>
      <c r="L5" s="122">
        <v>104736950.59277588</v>
      </c>
      <c r="M5" s="107">
        <v>105762198.30347124</v>
      </c>
      <c r="N5" s="107">
        <v>106548840.00104263</v>
      </c>
    </row>
    <row r="6" spans="1:15">
      <c r="B6" s="112" t="s">
        <v>109</v>
      </c>
      <c r="C6" s="116">
        <f t="shared" ref="C6:L6" si="0">(C5-C3)/C3</f>
        <v>-4.2349915337122832E-3</v>
      </c>
      <c r="D6" s="108">
        <f t="shared" si="0"/>
        <v>1.8165032721161954E-3</v>
      </c>
      <c r="E6" s="108">
        <f t="shared" si="0"/>
        <v>-2.365958786581128E-3</v>
      </c>
      <c r="F6" s="108">
        <f t="shared" si="0"/>
        <v>2.0998038753870375E-3</v>
      </c>
      <c r="G6" s="108">
        <f t="shared" si="0"/>
        <v>1.5711033248691655E-3</v>
      </c>
      <c r="H6" s="109">
        <f t="shared" si="0"/>
        <v>-6.2672371689360647E-4</v>
      </c>
      <c r="I6" s="109">
        <f t="shared" si="0"/>
        <v>-1.2089185274065867E-3</v>
      </c>
      <c r="J6" s="109">
        <f t="shared" si="0"/>
        <v>3.3558184270724009E-3</v>
      </c>
      <c r="K6" s="108">
        <f t="shared" si="0"/>
        <v>1.0331052091117649E-3</v>
      </c>
      <c r="L6" s="123">
        <f t="shared" si="0"/>
        <v>-1.693144430719042E-3</v>
      </c>
      <c r="M6" s="110"/>
      <c r="N6" s="110"/>
    </row>
    <row r="7" spans="1:15">
      <c r="C7" s="117"/>
      <c r="D7" s="117"/>
      <c r="E7" s="117"/>
      <c r="F7" s="117"/>
      <c r="G7" s="117"/>
      <c r="H7" s="198"/>
      <c r="I7" s="198"/>
      <c r="J7" s="198"/>
      <c r="K7" s="117"/>
      <c r="L7" s="249" t="s">
        <v>198</v>
      </c>
      <c r="M7" s="199">
        <v>-691016.88999999734</v>
      </c>
      <c r="N7" s="199">
        <v>-691016.88999999734</v>
      </c>
    </row>
    <row r="8" spans="1:15">
      <c r="C8" s="117"/>
      <c r="D8" s="117"/>
      <c r="E8" s="117"/>
      <c r="F8" s="117"/>
      <c r="G8" s="117"/>
      <c r="H8" s="198"/>
      <c r="I8" s="198"/>
      <c r="J8" s="198"/>
      <c r="K8" s="117"/>
      <c r="L8" s="249" t="s">
        <v>216</v>
      </c>
      <c r="M8" s="199">
        <v>229832.84868997012</v>
      </c>
      <c r="N8" s="199">
        <v>229832.84868997012</v>
      </c>
    </row>
    <row r="9" spans="1:15">
      <c r="C9" s="117"/>
      <c r="D9" s="98"/>
      <c r="E9" s="98"/>
      <c r="F9" s="98"/>
      <c r="G9" s="98"/>
      <c r="H9" s="96"/>
      <c r="I9" s="96"/>
      <c r="J9" s="96"/>
      <c r="K9" s="96"/>
      <c r="L9" s="249" t="s">
        <v>110</v>
      </c>
      <c r="M9" s="199">
        <v>0</v>
      </c>
      <c r="N9" s="199">
        <v>0</v>
      </c>
    </row>
    <row r="10" spans="1:15">
      <c r="C10" s="117"/>
      <c r="D10" s="98"/>
      <c r="E10" s="98"/>
      <c r="F10" s="98"/>
      <c r="G10" s="98"/>
      <c r="H10" s="98"/>
      <c r="I10" s="98"/>
      <c r="J10" s="98"/>
      <c r="K10" s="98"/>
      <c r="L10" s="249" t="s">
        <v>199</v>
      </c>
      <c r="M10" s="107">
        <v>105301014.26216121</v>
      </c>
      <c r="N10" s="107">
        <v>106087655.95973261</v>
      </c>
    </row>
    <row r="11" spans="1:15" s="202" customFormat="1" ht="13">
      <c r="B11" s="206"/>
      <c r="C11" s="203"/>
      <c r="D11" s="204"/>
      <c r="E11" s="204"/>
      <c r="F11" s="204"/>
      <c r="G11" s="204"/>
      <c r="H11" s="204"/>
      <c r="I11" s="204"/>
      <c r="K11" s="205"/>
      <c r="L11" s="207"/>
      <c r="M11" s="208"/>
      <c r="N11" s="205"/>
    </row>
    <row r="12" spans="1:15">
      <c r="B12" s="111" t="s">
        <v>111</v>
      </c>
      <c r="C12" s="115">
        <v>96428822.299999997</v>
      </c>
      <c r="D12" s="106">
        <v>98792419.129999995</v>
      </c>
      <c r="E12" s="106">
        <v>101469429.77999999</v>
      </c>
      <c r="F12" s="106">
        <v>104299319.90999998</v>
      </c>
      <c r="G12" s="106">
        <v>105286722.30999999</v>
      </c>
      <c r="H12" s="106">
        <v>105356697.44</v>
      </c>
      <c r="I12" s="106">
        <v>102633740.8</v>
      </c>
      <c r="J12" s="106">
        <v>100777474.95000002</v>
      </c>
      <c r="K12" s="106">
        <v>99864919.050000012</v>
      </c>
      <c r="L12" s="122">
        <v>98574327.429999992</v>
      </c>
      <c r="M12" s="107">
        <v>98938804.020262182</v>
      </c>
      <c r="N12" s="107">
        <v>99677917.401985317</v>
      </c>
    </row>
    <row r="13" spans="1:15">
      <c r="A13" s="99" t="s">
        <v>197</v>
      </c>
      <c r="C13" s="118"/>
      <c r="D13" s="92"/>
      <c r="E13" s="92"/>
      <c r="F13" s="92"/>
      <c r="G13" s="92"/>
      <c r="H13" s="92"/>
      <c r="I13" s="92"/>
      <c r="L13" s="94"/>
      <c r="M13" s="94"/>
      <c r="N13" s="97"/>
      <c r="O13" s="341"/>
    </row>
    <row r="14" spans="1:15">
      <c r="A14" s="355" t="s">
        <v>126</v>
      </c>
      <c r="B14" s="212" t="s">
        <v>112</v>
      </c>
      <c r="C14" s="107">
        <v>3072.9166666666665</v>
      </c>
      <c r="D14" s="107">
        <v>3103.25</v>
      </c>
      <c r="E14" s="107">
        <v>3126.3333333333335</v>
      </c>
      <c r="F14" s="107">
        <v>3160.5</v>
      </c>
      <c r="G14" s="107">
        <v>3190.4166666666665</v>
      </c>
      <c r="H14" s="107">
        <v>3211.9166666666665</v>
      </c>
      <c r="I14" s="107">
        <v>3219.3333333333335</v>
      </c>
      <c r="J14" s="107">
        <v>3245.6666666666665</v>
      </c>
      <c r="K14" s="107">
        <v>3278.5833333333335</v>
      </c>
      <c r="L14" s="107">
        <v>3301.9166666666665</v>
      </c>
      <c r="M14" s="107">
        <v>3328.3920644477507</v>
      </c>
      <c r="N14" s="107">
        <v>3355.0797470192852</v>
      </c>
    </row>
    <row r="15" spans="1:15">
      <c r="A15" s="357"/>
      <c r="B15" s="212" t="s">
        <v>113</v>
      </c>
      <c r="C15" s="107">
        <v>25348494</v>
      </c>
      <c r="D15" s="107">
        <v>25466302</v>
      </c>
      <c r="E15" s="107">
        <v>24774725.299999997</v>
      </c>
      <c r="F15" s="107">
        <v>25587070.509999998</v>
      </c>
      <c r="G15" s="107">
        <v>25720643.669999994</v>
      </c>
      <c r="H15" s="107">
        <v>24960131.039999999</v>
      </c>
      <c r="I15" s="107">
        <v>24523575.810000002</v>
      </c>
      <c r="J15" s="107">
        <v>23863110.25</v>
      </c>
      <c r="K15" s="107">
        <v>25345904.98</v>
      </c>
      <c r="L15" s="107">
        <v>25253896.18</v>
      </c>
      <c r="M15" s="107">
        <v>25886875.987943571</v>
      </c>
      <c r="N15" s="107">
        <v>26503100.371879745</v>
      </c>
    </row>
    <row r="16" spans="1:15" s="202" customFormat="1" ht="13">
      <c r="B16" s="209"/>
      <c r="C16" s="210"/>
      <c r="D16" s="210"/>
      <c r="E16" s="210"/>
      <c r="F16" s="210"/>
      <c r="G16" s="210"/>
      <c r="H16" s="210"/>
      <c r="I16" s="210"/>
      <c r="J16" s="210"/>
      <c r="K16" s="210"/>
      <c r="L16" s="210"/>
      <c r="M16" s="210"/>
      <c r="N16" s="210"/>
    </row>
    <row r="17" spans="1:14">
      <c r="A17" s="355" t="s">
        <v>127</v>
      </c>
      <c r="B17" s="212" t="s">
        <v>112</v>
      </c>
      <c r="C17" s="107">
        <v>479</v>
      </c>
      <c r="D17" s="107">
        <v>477.75</v>
      </c>
      <c r="E17" s="107">
        <v>477.75</v>
      </c>
      <c r="F17" s="107">
        <v>474.25</v>
      </c>
      <c r="G17" s="107">
        <v>473.08333333333331</v>
      </c>
      <c r="H17" s="107">
        <v>474.41666666666669</v>
      </c>
      <c r="I17" s="107">
        <v>469.33333333333331</v>
      </c>
      <c r="J17" s="107">
        <v>472.75</v>
      </c>
      <c r="K17" s="107">
        <v>470.16666666666669</v>
      </c>
      <c r="L17" s="107">
        <v>470</v>
      </c>
      <c r="M17" s="107">
        <v>469.01049704688995</v>
      </c>
      <c r="N17" s="107">
        <v>468.02307731951225</v>
      </c>
    </row>
    <row r="18" spans="1:14">
      <c r="A18" s="357"/>
      <c r="B18" s="212" t="s">
        <v>113</v>
      </c>
      <c r="C18" s="107">
        <v>11387103</v>
      </c>
      <c r="D18" s="107">
        <v>11698450.35</v>
      </c>
      <c r="E18" s="107">
        <v>11692349.939999999</v>
      </c>
      <c r="F18" s="107">
        <v>12087561.67</v>
      </c>
      <c r="G18" s="107">
        <v>11853212.560000001</v>
      </c>
      <c r="H18" s="107">
        <v>12033955.310000002</v>
      </c>
      <c r="I18" s="107">
        <v>11967605.530000001</v>
      </c>
      <c r="J18" s="107">
        <v>11410391.09</v>
      </c>
      <c r="K18" s="107">
        <v>11582140.129999999</v>
      </c>
      <c r="L18" s="107">
        <v>11138172.100000001</v>
      </c>
      <c r="M18" s="107">
        <v>11302682.079291267</v>
      </c>
      <c r="N18" s="107">
        <v>11455522.048345543</v>
      </c>
    </row>
    <row r="19" spans="1:14" s="202" customFormat="1" ht="13">
      <c r="B19" s="209"/>
      <c r="C19" s="207"/>
      <c r="D19" s="205"/>
      <c r="E19" s="205"/>
      <c r="F19" s="205"/>
      <c r="G19" s="205"/>
      <c r="H19" s="205"/>
      <c r="I19" s="205"/>
      <c r="J19" s="211"/>
      <c r="K19" s="205"/>
      <c r="L19" s="205"/>
      <c r="M19" s="205"/>
      <c r="N19" s="211"/>
    </row>
    <row r="20" spans="1:14" ht="15.65" customHeight="1">
      <c r="A20" s="355" t="s">
        <v>128</v>
      </c>
      <c r="B20" s="212" t="s">
        <v>112</v>
      </c>
      <c r="C20" s="107">
        <v>39.666666666666664</v>
      </c>
      <c r="D20" s="107">
        <v>38.333333333333336</v>
      </c>
      <c r="E20" s="107">
        <v>37.666666666666664</v>
      </c>
      <c r="F20" s="107">
        <v>38.416666666666664</v>
      </c>
      <c r="G20" s="107">
        <v>38.333333333333336</v>
      </c>
      <c r="H20" s="107">
        <v>35.75</v>
      </c>
      <c r="I20" s="107">
        <v>35.583333333333336</v>
      </c>
      <c r="J20" s="107">
        <v>34.75</v>
      </c>
      <c r="K20" s="107">
        <v>34</v>
      </c>
      <c r="L20" s="107">
        <v>35</v>
      </c>
      <c r="M20" s="107">
        <v>34.516623397710227</v>
      </c>
      <c r="N20" s="107">
        <v>34.039922593695913</v>
      </c>
    </row>
    <row r="21" spans="1:14">
      <c r="A21" s="356"/>
      <c r="B21" s="212" t="s">
        <v>113</v>
      </c>
      <c r="C21" s="107">
        <v>20855253</v>
      </c>
      <c r="D21" s="107">
        <v>21357589</v>
      </c>
      <c r="E21" s="107">
        <v>21917336.890000001</v>
      </c>
      <c r="F21" s="107">
        <v>16562845.530000001</v>
      </c>
      <c r="G21" s="107">
        <v>15962528.779999999</v>
      </c>
      <c r="H21" s="107">
        <v>20081441.440000001</v>
      </c>
      <c r="I21" s="107">
        <v>19893743.399999999</v>
      </c>
      <c r="J21" s="107">
        <v>19029613.010000002</v>
      </c>
      <c r="K21" s="107">
        <v>18305428.530000001</v>
      </c>
      <c r="L21" s="107">
        <v>18739879.539999999</v>
      </c>
      <c r="M21" s="107">
        <v>18727303.824337367</v>
      </c>
      <c r="N21" s="107">
        <v>18697352.85307005</v>
      </c>
    </row>
    <row r="22" spans="1:14">
      <c r="A22" s="357"/>
      <c r="B22" s="212" t="s">
        <v>114</v>
      </c>
      <c r="C22" s="107">
        <v>61885.200000000012</v>
      </c>
      <c r="D22" s="107">
        <v>65743.399999999994</v>
      </c>
      <c r="E22" s="107">
        <v>67820.399999999994</v>
      </c>
      <c r="F22" s="107">
        <v>52256</v>
      </c>
      <c r="G22" s="107">
        <v>48273.4</v>
      </c>
      <c r="H22" s="107">
        <v>55778.200000000012</v>
      </c>
      <c r="I22" s="107">
        <v>55435.900000000009</v>
      </c>
      <c r="J22" s="107">
        <v>53405.200000000004</v>
      </c>
      <c r="K22" s="107">
        <v>52914.899999999994</v>
      </c>
      <c r="L22" s="107">
        <v>51684.799999999988</v>
      </c>
      <c r="M22" s="107">
        <v>52508.751332683234</v>
      </c>
      <c r="N22" s="107">
        <v>52424.772981223796</v>
      </c>
    </row>
    <row r="23" spans="1:14" s="202" customFormat="1" ht="13">
      <c r="B23" s="209"/>
      <c r="C23" s="207"/>
      <c r="D23" s="205"/>
      <c r="E23" s="205"/>
      <c r="F23" s="205"/>
      <c r="G23" s="205"/>
      <c r="H23" s="205"/>
      <c r="I23" s="205"/>
      <c r="J23" s="211"/>
      <c r="K23" s="205"/>
      <c r="L23" s="205"/>
      <c r="M23" s="205"/>
      <c r="N23" s="211"/>
    </row>
    <row r="24" spans="1:14">
      <c r="A24" s="355" t="s">
        <v>129</v>
      </c>
      <c r="B24" s="212" t="s">
        <v>112</v>
      </c>
      <c r="C24" s="107">
        <v>5</v>
      </c>
      <c r="D24" s="107">
        <v>5</v>
      </c>
      <c r="E24" s="107">
        <v>5</v>
      </c>
      <c r="F24" s="107">
        <v>5.833333333333333</v>
      </c>
      <c r="G24" s="107">
        <v>5.833333333333333</v>
      </c>
      <c r="H24" s="107">
        <v>5</v>
      </c>
      <c r="I24" s="107">
        <v>5</v>
      </c>
      <c r="J24" s="107">
        <v>5</v>
      </c>
      <c r="K24" s="107">
        <v>5</v>
      </c>
      <c r="L24" s="107">
        <v>5</v>
      </c>
      <c r="M24" s="107">
        <v>5</v>
      </c>
      <c r="N24" s="107">
        <v>5</v>
      </c>
    </row>
    <row r="25" spans="1:14">
      <c r="A25" s="356"/>
      <c r="B25" s="212" t="s">
        <v>113</v>
      </c>
      <c r="C25" s="107">
        <v>38077454.969999999</v>
      </c>
      <c r="D25" s="107">
        <v>39521514.93</v>
      </c>
      <c r="E25" s="107">
        <v>42337528.850000001</v>
      </c>
      <c r="F25" s="107">
        <v>49310777.399999991</v>
      </c>
      <c r="G25" s="107">
        <v>50998403.280000001</v>
      </c>
      <c r="H25" s="107">
        <v>47530354.799999997</v>
      </c>
      <c r="I25" s="107">
        <v>45496516.099999994</v>
      </c>
      <c r="J25" s="107">
        <v>45750527.200000003</v>
      </c>
      <c r="K25" s="107">
        <v>43913955.700000003</v>
      </c>
      <c r="L25" s="107">
        <v>42766148</v>
      </c>
      <c r="M25" s="107">
        <v>42766148</v>
      </c>
      <c r="N25" s="107">
        <v>42766148</v>
      </c>
    </row>
    <row r="26" spans="1:14">
      <c r="A26" s="357"/>
      <c r="B26" s="212" t="s">
        <v>114</v>
      </c>
      <c r="C26" s="107">
        <v>83976.04</v>
      </c>
      <c r="D26" s="107">
        <v>86114.400000000009</v>
      </c>
      <c r="E26" s="107">
        <v>89132.000000000015</v>
      </c>
      <c r="F26" s="107">
        <v>105091.5</v>
      </c>
      <c r="G26" s="107">
        <v>109682.1</v>
      </c>
      <c r="H26" s="107">
        <v>99567.400000000009</v>
      </c>
      <c r="I26" s="107">
        <v>96818.1</v>
      </c>
      <c r="J26" s="107">
        <v>98592</v>
      </c>
      <c r="K26" s="107">
        <v>98024.8</v>
      </c>
      <c r="L26" s="107">
        <v>96230.2</v>
      </c>
      <c r="M26" s="107">
        <v>92889.718770175605</v>
      </c>
      <c r="N26" s="107">
        <v>92889.718770175605</v>
      </c>
    </row>
    <row r="27" spans="1:14" s="202" customFormat="1" ht="13">
      <c r="B27" s="209"/>
      <c r="C27" s="207"/>
      <c r="D27" s="205"/>
      <c r="E27" s="205"/>
      <c r="F27" s="205"/>
      <c r="G27" s="205"/>
      <c r="H27" s="205"/>
      <c r="I27" s="205"/>
      <c r="J27" s="211"/>
      <c r="K27" s="205"/>
      <c r="L27" s="205"/>
      <c r="M27" s="205"/>
      <c r="N27" s="211"/>
    </row>
    <row r="28" spans="1:14">
      <c r="A28" s="355" t="s">
        <v>133</v>
      </c>
      <c r="B28" s="212" t="s">
        <v>115</v>
      </c>
      <c r="C28" s="107">
        <v>1.1666666666666667</v>
      </c>
      <c r="D28" s="107">
        <v>1.5833333333333333</v>
      </c>
      <c r="E28" s="107">
        <v>1.3333333333333333</v>
      </c>
      <c r="F28" s="107">
        <v>1.5833333333333333</v>
      </c>
      <c r="G28" s="107">
        <v>1.1666666666666667</v>
      </c>
      <c r="H28" s="107">
        <v>1</v>
      </c>
      <c r="I28" s="107">
        <v>1.5833333333333333</v>
      </c>
      <c r="J28" s="107">
        <v>2</v>
      </c>
      <c r="K28" s="107">
        <v>2.3333333333333335</v>
      </c>
      <c r="L28" s="107">
        <v>2.3333333333333335</v>
      </c>
      <c r="M28" s="107">
        <v>2.3333333333333335</v>
      </c>
      <c r="N28" s="107">
        <v>2.3333333333333335</v>
      </c>
    </row>
    <row r="29" spans="1:14">
      <c r="A29" s="357"/>
      <c r="B29" s="212" t="s">
        <v>113</v>
      </c>
      <c r="C29" s="107">
        <v>9732</v>
      </c>
      <c r="D29" s="107">
        <v>7563</v>
      </c>
      <c r="E29" s="107">
        <v>5733</v>
      </c>
      <c r="F29" s="107">
        <v>5733</v>
      </c>
      <c r="G29" s="107">
        <v>5733</v>
      </c>
      <c r="H29" s="107">
        <v>5184</v>
      </c>
      <c r="I29" s="107">
        <v>6816</v>
      </c>
      <c r="J29" s="107">
        <v>6801</v>
      </c>
      <c r="K29" s="107">
        <v>6801</v>
      </c>
      <c r="L29" s="107">
        <v>6288</v>
      </c>
      <c r="M29" s="107">
        <v>6288</v>
      </c>
      <c r="N29" s="107">
        <v>6288</v>
      </c>
    </row>
    <row r="30" spans="1:14" s="202" customFormat="1" ht="13">
      <c r="B30" s="209"/>
      <c r="C30" s="207"/>
      <c r="D30" s="205"/>
      <c r="E30" s="205"/>
      <c r="F30" s="205"/>
      <c r="G30" s="205"/>
      <c r="H30" s="205"/>
      <c r="I30" s="205"/>
      <c r="J30" s="211"/>
      <c r="K30" s="205"/>
      <c r="L30" s="205"/>
      <c r="M30" s="205"/>
      <c r="N30" s="211"/>
    </row>
    <row r="31" spans="1:14">
      <c r="A31" s="355" t="s">
        <v>131</v>
      </c>
      <c r="B31" s="212" t="s">
        <v>115</v>
      </c>
      <c r="C31" s="107">
        <v>28</v>
      </c>
      <c r="D31" s="107">
        <v>28</v>
      </c>
      <c r="E31" s="107">
        <v>28</v>
      </c>
      <c r="F31" s="107">
        <v>28</v>
      </c>
      <c r="G31" s="107">
        <v>27.916666666666668</v>
      </c>
      <c r="H31" s="107">
        <v>26.5</v>
      </c>
      <c r="I31" s="107">
        <v>24</v>
      </c>
      <c r="J31" s="107">
        <v>23.083333333333332</v>
      </c>
      <c r="K31" s="107">
        <v>23</v>
      </c>
      <c r="L31" s="107">
        <v>23</v>
      </c>
      <c r="M31" s="107">
        <v>23</v>
      </c>
      <c r="N31" s="107">
        <v>23</v>
      </c>
    </row>
    <row r="32" spans="1:14">
      <c r="A32" s="356"/>
      <c r="B32" s="212" t="s">
        <v>113</v>
      </c>
      <c r="C32" s="107">
        <v>31586.329999999994</v>
      </c>
      <c r="D32" s="107">
        <v>27611.850000000006</v>
      </c>
      <c r="E32" s="107">
        <v>26092.800000000007</v>
      </c>
      <c r="F32" s="107">
        <v>26092.800000000007</v>
      </c>
      <c r="G32" s="107">
        <v>25409.019999999997</v>
      </c>
      <c r="H32" s="107">
        <v>24838.850000000002</v>
      </c>
      <c r="I32" s="107">
        <v>22056.959999999995</v>
      </c>
      <c r="J32" s="107">
        <v>19673.28</v>
      </c>
      <c r="K32" s="107">
        <v>19673.28</v>
      </c>
      <c r="L32" s="107">
        <v>19673.28</v>
      </c>
      <c r="M32" s="107">
        <v>19673.28</v>
      </c>
      <c r="N32" s="107">
        <v>19673.28</v>
      </c>
    </row>
    <row r="33" spans="1:14">
      <c r="A33" s="357"/>
      <c r="B33" s="212" t="s">
        <v>114</v>
      </c>
      <c r="C33" s="107">
        <v>87.726000000000013</v>
      </c>
      <c r="D33" s="107">
        <v>80.488388888888892</v>
      </c>
      <c r="E33" s="107">
        <v>72.48</v>
      </c>
      <c r="F33" s="107">
        <v>72.48</v>
      </c>
      <c r="G33" s="107">
        <v>70.580611111111111</v>
      </c>
      <c r="H33" s="107">
        <v>69.674000000000007</v>
      </c>
      <c r="I33" s="107">
        <v>61.269333333333336</v>
      </c>
      <c r="J33" s="107">
        <v>54.648000000000017</v>
      </c>
      <c r="K33" s="107">
        <v>54.648000000000017</v>
      </c>
      <c r="L33" s="107">
        <v>54.640000000000008</v>
      </c>
      <c r="M33" s="107">
        <v>54.753672566322521</v>
      </c>
      <c r="N33" s="107">
        <v>54.753672566322521</v>
      </c>
    </row>
    <row r="34" spans="1:14" s="202" customFormat="1" ht="13">
      <c r="B34" s="209"/>
      <c r="C34" s="207"/>
      <c r="D34" s="205"/>
      <c r="E34" s="205"/>
      <c r="F34" s="205"/>
      <c r="G34" s="205"/>
      <c r="H34" s="205"/>
      <c r="I34" s="205"/>
      <c r="J34" s="211"/>
      <c r="K34" s="205"/>
      <c r="L34" s="205"/>
      <c r="M34" s="205"/>
      <c r="N34" s="211"/>
    </row>
    <row r="35" spans="1:14">
      <c r="A35" s="355" t="s">
        <v>130</v>
      </c>
      <c r="B35" s="212" t="s">
        <v>115</v>
      </c>
      <c r="C35" s="107">
        <v>900</v>
      </c>
      <c r="D35" s="107">
        <v>899.16666666666663</v>
      </c>
      <c r="E35" s="107">
        <v>898</v>
      </c>
      <c r="F35" s="107">
        <v>899.5</v>
      </c>
      <c r="G35" s="107">
        <v>905</v>
      </c>
      <c r="H35" s="107">
        <v>905</v>
      </c>
      <c r="I35" s="107">
        <v>907.08333333333337</v>
      </c>
      <c r="J35" s="107">
        <v>908.33333333333337</v>
      </c>
      <c r="K35" s="107">
        <v>908</v>
      </c>
      <c r="L35" s="107">
        <v>907.91666666666663</v>
      </c>
      <c r="M35" s="107">
        <v>924</v>
      </c>
      <c r="N35" s="107">
        <v>924</v>
      </c>
    </row>
    <row r="36" spans="1:14">
      <c r="A36" s="356"/>
      <c r="B36" s="212" t="s">
        <v>113</v>
      </c>
      <c r="C36" s="107">
        <v>719199</v>
      </c>
      <c r="D36" s="107">
        <v>713388</v>
      </c>
      <c r="E36" s="107">
        <v>715663</v>
      </c>
      <c r="F36" s="107">
        <v>719239</v>
      </c>
      <c r="G36" s="107">
        <v>720792</v>
      </c>
      <c r="H36" s="107">
        <v>720792</v>
      </c>
      <c r="I36" s="107">
        <v>723427</v>
      </c>
      <c r="J36" s="107">
        <v>697359.11999999988</v>
      </c>
      <c r="K36" s="107">
        <v>691015.42999999993</v>
      </c>
      <c r="L36" s="107">
        <v>650270.32999999996</v>
      </c>
      <c r="M36" s="107">
        <v>229832.84868997012</v>
      </c>
      <c r="N36" s="107">
        <v>229832.84868997012</v>
      </c>
    </row>
    <row r="37" spans="1:14">
      <c r="A37" s="357"/>
      <c r="B37" s="212" t="s">
        <v>114</v>
      </c>
      <c r="C37" s="107">
        <v>1964.4000000000003</v>
      </c>
      <c r="D37" s="107">
        <v>1963.4999999999995</v>
      </c>
      <c r="E37" s="107">
        <v>1963.1999999999996</v>
      </c>
      <c r="F37" s="107">
        <v>1979.6999999999996</v>
      </c>
      <c r="G37" s="107">
        <v>1983.3099999999997</v>
      </c>
      <c r="H37" s="107">
        <v>1983.5999999999997</v>
      </c>
      <c r="I37" s="107">
        <v>1984.2000000000005</v>
      </c>
      <c r="J37" s="107">
        <v>1920.3999999999999</v>
      </c>
      <c r="K37" s="107">
        <v>1902</v>
      </c>
      <c r="L37" s="107">
        <v>1810.1</v>
      </c>
      <c r="M37" s="107">
        <v>632.47200000000009</v>
      </c>
      <c r="N37" s="107">
        <v>632.47200000000009</v>
      </c>
    </row>
    <row r="38" spans="1:14" s="202" customFormat="1" ht="13">
      <c r="B38" s="209"/>
      <c r="C38" s="207"/>
      <c r="D38" s="205"/>
      <c r="E38" s="205"/>
      <c r="F38" s="205"/>
      <c r="G38" s="205"/>
      <c r="H38" s="205"/>
      <c r="I38" s="205"/>
      <c r="J38" s="211"/>
      <c r="K38" s="205"/>
      <c r="L38" s="205"/>
      <c r="M38" s="205"/>
      <c r="N38" s="211"/>
    </row>
    <row r="39" spans="1:14">
      <c r="A39" s="102" t="s">
        <v>32</v>
      </c>
      <c r="C39" s="118"/>
      <c r="D39" s="92"/>
      <c r="E39" s="92"/>
      <c r="F39" s="92"/>
      <c r="G39" s="92"/>
      <c r="H39" s="92"/>
      <c r="I39" s="92"/>
      <c r="K39" s="92"/>
      <c r="L39" s="118"/>
      <c r="M39" s="118"/>
      <c r="N39" s="92"/>
    </row>
    <row r="40" spans="1:14">
      <c r="B40" s="125" t="s">
        <v>134</v>
      </c>
      <c r="C40" s="107">
        <f>C14+C17+C20+C24+C28+C31+C35</f>
        <v>4525.75</v>
      </c>
      <c r="D40" s="107">
        <f t="shared" ref="D40:L40" si="1">D14+D17+D20+D24+D28+D31+D35</f>
        <v>4553.0833333333339</v>
      </c>
      <c r="E40" s="107">
        <f t="shared" si="1"/>
        <v>4574.0833333333339</v>
      </c>
      <c r="F40" s="107">
        <f t="shared" si="1"/>
        <v>4608.0833333333339</v>
      </c>
      <c r="G40" s="107">
        <f t="shared" si="1"/>
        <v>4641.75</v>
      </c>
      <c r="H40" s="107">
        <f t="shared" si="1"/>
        <v>4659.583333333333</v>
      </c>
      <c r="I40" s="107">
        <f t="shared" si="1"/>
        <v>4661.916666666667</v>
      </c>
      <c r="J40" s="107">
        <f t="shared" si="1"/>
        <v>4691.583333333333</v>
      </c>
      <c r="K40" s="107">
        <f t="shared" si="1"/>
        <v>4721.0833333333339</v>
      </c>
      <c r="L40" s="107">
        <f t="shared" si="1"/>
        <v>4745.166666666667</v>
      </c>
      <c r="M40" s="107">
        <f>M14+M17+M20+M24+M28+M31+M35</f>
        <v>4786.252518225685</v>
      </c>
      <c r="N40" s="107">
        <f>N14+N17+N20+N24+N28+N31+N35</f>
        <v>4811.4760802658266</v>
      </c>
    </row>
    <row r="41" spans="1:14">
      <c r="B41" s="125" t="s">
        <v>113</v>
      </c>
      <c r="C41" s="107">
        <f>C15+C18+C21+C25+C29+C32+C36</f>
        <v>96428822.299999997</v>
      </c>
      <c r="D41" s="107">
        <f t="shared" ref="D41:L41" si="2">D15+D18+D21+D25+D29+D32+D36</f>
        <v>98792419.129999995</v>
      </c>
      <c r="E41" s="107">
        <f t="shared" si="2"/>
        <v>101469429.77999999</v>
      </c>
      <c r="F41" s="107">
        <f t="shared" si="2"/>
        <v>104299319.90999998</v>
      </c>
      <c r="G41" s="107">
        <f t="shared" si="2"/>
        <v>105286722.30999999</v>
      </c>
      <c r="H41" s="107">
        <f t="shared" si="2"/>
        <v>105356697.44</v>
      </c>
      <c r="I41" s="107">
        <f t="shared" si="2"/>
        <v>102633740.8</v>
      </c>
      <c r="J41" s="107">
        <f t="shared" si="2"/>
        <v>100777474.95000002</v>
      </c>
      <c r="K41" s="107">
        <f t="shared" si="2"/>
        <v>99864919.050000012</v>
      </c>
      <c r="L41" s="107">
        <f t="shared" si="2"/>
        <v>98574327.429999992</v>
      </c>
      <c r="M41" s="107">
        <f>M15+M18+M21+M25+M29+M32+M36</f>
        <v>98938804.020262182</v>
      </c>
      <c r="N41" s="107">
        <f>N15+N18+N21+N25+N29+N32+N36</f>
        <v>99677917.401985317</v>
      </c>
    </row>
    <row r="42" spans="1:14">
      <c r="B42" s="125" t="s">
        <v>114</v>
      </c>
      <c r="C42" s="107">
        <f>C22+C26+C33+C37</f>
        <v>147913.36599999998</v>
      </c>
      <c r="D42" s="107">
        <f t="shared" ref="D42:L42" si="3">D22+D26+D33+D37</f>
        <v>153901.78838888888</v>
      </c>
      <c r="E42" s="107">
        <f t="shared" si="3"/>
        <v>158988.08000000005</v>
      </c>
      <c r="F42" s="107">
        <f t="shared" si="3"/>
        <v>159399.68000000002</v>
      </c>
      <c r="G42" s="107">
        <f t="shared" si="3"/>
        <v>160009.3906111111</v>
      </c>
      <c r="H42" s="107">
        <f t="shared" si="3"/>
        <v>157398.87400000004</v>
      </c>
      <c r="I42" s="107">
        <f t="shared" si="3"/>
        <v>154299.46933333334</v>
      </c>
      <c r="J42" s="107">
        <f t="shared" si="3"/>
        <v>153972.24799999999</v>
      </c>
      <c r="K42" s="107">
        <f t="shared" si="3"/>
        <v>152896.348</v>
      </c>
      <c r="L42" s="107">
        <f t="shared" si="3"/>
        <v>149779.74000000002</v>
      </c>
      <c r="M42" s="107">
        <f>M22+M26+M33+M37</f>
        <v>146085.69577542518</v>
      </c>
      <c r="N42" s="107">
        <f>N22+N26+N33+N37</f>
        <v>146001.71742396575</v>
      </c>
    </row>
    <row r="43" spans="1:14">
      <c r="C43" s="103"/>
      <c r="D43" s="97"/>
      <c r="E43" s="97"/>
      <c r="F43" s="97"/>
      <c r="G43" s="92"/>
      <c r="H43" s="97"/>
      <c r="I43" s="97"/>
      <c r="K43" s="93"/>
      <c r="L43" s="118"/>
      <c r="M43" s="201"/>
      <c r="N43" s="201"/>
    </row>
  </sheetData>
  <mergeCells count="7">
    <mergeCell ref="A31:A33"/>
    <mergeCell ref="A35:A37"/>
    <mergeCell ref="A17:A18"/>
    <mergeCell ref="A20:A22"/>
    <mergeCell ref="A14:A15"/>
    <mergeCell ref="A24:A26"/>
    <mergeCell ref="A28:A29"/>
  </mergeCells>
  <pageMargins left="0.7" right="0.7" top="0.75" bottom="0.75" header="0.3" footer="0.3"/>
  <pageSetup scale="47"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52"/>
  <sheetViews>
    <sheetView workbookViewId="0"/>
  </sheetViews>
  <sheetFormatPr defaultRowHeight="15.5"/>
  <cols>
    <col min="1" max="1" width="17.25" style="132" bestFit="1" customWidth="1"/>
    <col min="2" max="2" width="7.83203125" style="132" bestFit="1" customWidth="1"/>
    <col min="3" max="3" width="8.75" style="132" bestFit="1" customWidth="1"/>
    <col min="4" max="7" width="6.58203125" style="132" bestFit="1" customWidth="1"/>
    <col min="8" max="8" width="6.25" style="132" customWidth="1"/>
    <col min="9" max="9" width="7.08203125" style="132" bestFit="1" customWidth="1"/>
    <col min="10" max="10" width="10.75" style="132" bestFit="1" customWidth="1"/>
    <col min="11" max="11" width="8" style="132" bestFit="1" customWidth="1"/>
    <col min="12" max="13" width="10.08203125" style="132" bestFit="1" customWidth="1"/>
  </cols>
  <sheetData>
    <row r="2" spans="1:13">
      <c r="A2" s="362" t="s">
        <v>183</v>
      </c>
      <c r="B2" s="362"/>
      <c r="C2" s="362"/>
      <c r="D2" s="362"/>
      <c r="E2" s="362"/>
      <c r="F2" s="362"/>
      <c r="G2" s="362"/>
      <c r="H2" s="362"/>
      <c r="I2" s="362"/>
      <c r="J2" s="362"/>
      <c r="K2" s="362"/>
      <c r="L2" s="362"/>
      <c r="M2" s="362"/>
    </row>
    <row r="3" spans="1:13">
      <c r="A3" s="223" t="s">
        <v>184</v>
      </c>
      <c r="B3" s="224" t="s">
        <v>158</v>
      </c>
      <c r="C3" s="224" t="s">
        <v>159</v>
      </c>
      <c r="D3" s="224" t="s">
        <v>160</v>
      </c>
      <c r="E3" s="224" t="s">
        <v>161</v>
      </c>
      <c r="F3" s="224" t="s">
        <v>6</v>
      </c>
      <c r="G3" s="224" t="s">
        <v>162</v>
      </c>
      <c r="H3" s="224" t="s">
        <v>163</v>
      </c>
      <c r="I3" s="224" t="s">
        <v>164</v>
      </c>
      <c r="J3" s="224" t="s">
        <v>165</v>
      </c>
      <c r="K3" s="224" t="s">
        <v>166</v>
      </c>
      <c r="L3" s="224" t="s">
        <v>167</v>
      </c>
      <c r="M3" s="224" t="s">
        <v>168</v>
      </c>
    </row>
    <row r="4" spans="1:13">
      <c r="A4" s="225">
        <v>2000</v>
      </c>
      <c r="B4" s="226">
        <v>800.4</v>
      </c>
      <c r="C4" s="226">
        <v>673.59999999999991</v>
      </c>
      <c r="D4" s="226">
        <v>493.16666666666669</v>
      </c>
      <c r="E4" s="226">
        <v>413.1271604938272</v>
      </c>
      <c r="F4" s="226">
        <v>196</v>
      </c>
      <c r="G4" s="226">
        <v>78.399999999999991</v>
      </c>
      <c r="H4" s="226">
        <v>50.8</v>
      </c>
      <c r="I4" s="226">
        <v>42.800000000000004</v>
      </c>
      <c r="J4" s="226">
        <v>165.89999999999998</v>
      </c>
      <c r="K4" s="226">
        <v>280.20000000000005</v>
      </c>
      <c r="L4" s="226">
        <v>506.56666666666666</v>
      </c>
      <c r="M4" s="226">
        <v>845.01111111111106</v>
      </c>
    </row>
    <row r="5" spans="1:13">
      <c r="A5" s="225">
        <v>2001</v>
      </c>
      <c r="B5" s="226">
        <v>753.99999999999989</v>
      </c>
      <c r="C5" s="226">
        <v>679.7</v>
      </c>
      <c r="D5" s="226">
        <v>681.3</v>
      </c>
      <c r="E5" s="226">
        <v>369.90000000000003</v>
      </c>
      <c r="F5" s="226">
        <v>172.2</v>
      </c>
      <c r="G5" s="226">
        <v>78.999999999999986</v>
      </c>
      <c r="H5" s="226">
        <v>51.400000000000006</v>
      </c>
      <c r="I5" s="226">
        <v>17</v>
      </c>
      <c r="J5" s="226">
        <v>165.79999999999998</v>
      </c>
      <c r="K5" s="226">
        <v>298.22222222222217</v>
      </c>
      <c r="L5" s="226">
        <v>387.69999999999993</v>
      </c>
      <c r="M5" s="226">
        <v>568.27242798353916</v>
      </c>
    </row>
    <row r="6" spans="1:13">
      <c r="A6" s="225">
        <v>2002</v>
      </c>
      <c r="B6" s="226">
        <v>722.55713051872169</v>
      </c>
      <c r="C6" s="226">
        <v>663.29981914962946</v>
      </c>
      <c r="D6" s="226">
        <v>625.76666666666688</v>
      </c>
      <c r="E6" s="226">
        <v>390.73333333333341</v>
      </c>
      <c r="F6" s="226">
        <v>297.7</v>
      </c>
      <c r="G6" s="226">
        <v>69.2</v>
      </c>
      <c r="H6" s="226">
        <v>16.677777777777777</v>
      </c>
      <c r="I6" s="226">
        <v>26.900000000000006</v>
      </c>
      <c r="J6" s="226">
        <v>67.366666666666674</v>
      </c>
      <c r="K6" s="226">
        <v>371.09999999999991</v>
      </c>
      <c r="L6" s="226">
        <v>531.59999999999991</v>
      </c>
      <c r="M6" s="226">
        <v>701.3</v>
      </c>
    </row>
    <row r="7" spans="1:13">
      <c r="A7" s="225">
        <v>2003</v>
      </c>
      <c r="B7" s="226">
        <v>902.07777777777767</v>
      </c>
      <c r="C7" s="226">
        <v>798.59999999999991</v>
      </c>
      <c r="D7" s="226">
        <v>661.2</v>
      </c>
      <c r="E7" s="226">
        <v>420.6444444444445</v>
      </c>
      <c r="F7" s="226">
        <v>239.46666666666667</v>
      </c>
      <c r="G7" s="226">
        <v>81.700000000000017</v>
      </c>
      <c r="H7" s="226">
        <v>25.7</v>
      </c>
      <c r="I7" s="226">
        <v>24.6</v>
      </c>
      <c r="J7" s="226">
        <v>111.29999999999998</v>
      </c>
      <c r="K7" s="226">
        <v>333</v>
      </c>
      <c r="L7" s="226">
        <v>447.9</v>
      </c>
      <c r="M7" s="226">
        <v>649.4</v>
      </c>
    </row>
    <row r="8" spans="1:13">
      <c r="A8" s="225">
        <v>2004</v>
      </c>
      <c r="B8" s="226">
        <v>913.19999999999993</v>
      </c>
      <c r="C8" s="226">
        <v>701.69999999999982</v>
      </c>
      <c r="D8" s="226">
        <v>575.9</v>
      </c>
      <c r="E8" s="226">
        <v>377.4</v>
      </c>
      <c r="F8" s="226">
        <v>221.70000000000002</v>
      </c>
      <c r="G8" s="226">
        <v>104.14630391708579</v>
      </c>
      <c r="H8" s="226">
        <v>30.599999999999998</v>
      </c>
      <c r="I8" s="226">
        <v>71.900000000000006</v>
      </c>
      <c r="J8" s="226">
        <v>83.899999999999991</v>
      </c>
      <c r="K8" s="226">
        <v>290.60000000000002</v>
      </c>
      <c r="L8" s="226">
        <v>445.89999999999992</v>
      </c>
      <c r="M8" s="226">
        <v>729.09999999999991</v>
      </c>
    </row>
    <row r="9" spans="1:13">
      <c r="A9" s="225">
        <v>2005</v>
      </c>
      <c r="B9" s="226">
        <v>829.3</v>
      </c>
      <c r="C9" s="226">
        <v>691</v>
      </c>
      <c r="D9" s="226">
        <v>708.0999999999998</v>
      </c>
      <c r="E9" s="226">
        <v>357.59999999999991</v>
      </c>
      <c r="F9" s="226">
        <v>244.49999999999997</v>
      </c>
      <c r="G9" s="226">
        <v>26.900000000000002</v>
      </c>
      <c r="H9" s="226">
        <v>13.600000000000001</v>
      </c>
      <c r="I9" s="226">
        <v>11.8</v>
      </c>
      <c r="J9" s="226">
        <v>68.2</v>
      </c>
      <c r="K9" s="226">
        <v>273.59999999999997</v>
      </c>
      <c r="L9" s="226">
        <v>445.50000000000006</v>
      </c>
      <c r="M9" s="226">
        <v>721.80000000000018</v>
      </c>
    </row>
    <row r="10" spans="1:13">
      <c r="A10" s="225">
        <v>2006</v>
      </c>
      <c r="B10" s="226">
        <v>626.30000000000007</v>
      </c>
      <c r="C10" s="226">
        <v>693.69999999999993</v>
      </c>
      <c r="D10" s="226">
        <v>613.6</v>
      </c>
      <c r="E10" s="226">
        <v>328.40000000000009</v>
      </c>
      <c r="F10" s="226">
        <v>176.50000000000006</v>
      </c>
      <c r="G10" s="226">
        <v>59.7</v>
      </c>
      <c r="H10" s="226">
        <v>8.6</v>
      </c>
      <c r="I10" s="226">
        <v>39.900000000000006</v>
      </c>
      <c r="J10" s="226">
        <v>145</v>
      </c>
      <c r="K10" s="226">
        <v>351.8</v>
      </c>
      <c r="L10" s="226">
        <v>420.90000000000003</v>
      </c>
      <c r="M10" s="226">
        <v>569.80000000000007</v>
      </c>
    </row>
    <row r="11" spans="1:13">
      <c r="A11" s="225">
        <v>2007</v>
      </c>
      <c r="B11" s="226">
        <v>729.3</v>
      </c>
      <c r="C11" s="226">
        <v>793.80000000000007</v>
      </c>
      <c r="D11" s="226">
        <v>593.09999999999991</v>
      </c>
      <c r="E11" s="226">
        <v>424.2999999999999</v>
      </c>
      <c r="F11" s="226">
        <v>170.3</v>
      </c>
      <c r="G11" s="226">
        <v>55.500000000000007</v>
      </c>
      <c r="H11" s="226">
        <v>34.000000000000007</v>
      </c>
      <c r="I11" s="226">
        <v>26.3</v>
      </c>
      <c r="J11" s="226">
        <v>83.9</v>
      </c>
      <c r="K11" s="226">
        <v>189.2</v>
      </c>
      <c r="L11" s="226">
        <v>525.9</v>
      </c>
      <c r="M11" s="226">
        <v>696.19999999999993</v>
      </c>
    </row>
    <row r="12" spans="1:13">
      <c r="A12" s="225">
        <v>2008</v>
      </c>
      <c r="B12" s="226">
        <v>693.80000000000007</v>
      </c>
      <c r="C12" s="226">
        <v>736.00000000000011</v>
      </c>
      <c r="D12" s="226">
        <v>698</v>
      </c>
      <c r="E12" s="226">
        <v>299.09999999999997</v>
      </c>
      <c r="F12" s="226">
        <v>263.09999999999997</v>
      </c>
      <c r="G12" s="226">
        <v>50.3</v>
      </c>
      <c r="H12" s="226">
        <v>19.399999999999999</v>
      </c>
      <c r="I12" s="226">
        <v>32.233333333333334</v>
      </c>
      <c r="J12" s="226">
        <v>98.8</v>
      </c>
      <c r="K12" s="226">
        <v>329.8</v>
      </c>
      <c r="L12" s="226">
        <v>516.6</v>
      </c>
      <c r="M12" s="226">
        <v>733.6</v>
      </c>
    </row>
    <row r="13" spans="1:13">
      <c r="A13" s="225">
        <v>2009</v>
      </c>
      <c r="B13" s="226">
        <v>901.4</v>
      </c>
      <c r="C13" s="226">
        <v>679.40000000000009</v>
      </c>
      <c r="D13" s="226">
        <v>597.00000000000011</v>
      </c>
      <c r="E13" s="226">
        <v>361.7</v>
      </c>
      <c r="F13" s="226">
        <v>219.60000000000002</v>
      </c>
      <c r="G13" s="226">
        <v>99.100000000000009</v>
      </c>
      <c r="H13" s="226">
        <v>61.2</v>
      </c>
      <c r="I13" s="226">
        <v>43</v>
      </c>
      <c r="J13" s="226">
        <v>110.2</v>
      </c>
      <c r="K13" s="226">
        <v>345.2999999999999</v>
      </c>
      <c r="L13" s="226">
        <v>396.19999999999993</v>
      </c>
      <c r="M13" s="226">
        <v>698.59999999999991</v>
      </c>
    </row>
    <row r="14" spans="1:13">
      <c r="A14" s="225">
        <v>2010</v>
      </c>
      <c r="B14" s="226">
        <v>791.5</v>
      </c>
      <c r="C14" s="226">
        <v>680.1</v>
      </c>
      <c r="D14" s="226">
        <v>504.69999999999987</v>
      </c>
      <c r="E14" s="226">
        <v>273.20000000000005</v>
      </c>
      <c r="F14" s="226">
        <v>148.19999999999996</v>
      </c>
      <c r="G14" s="226">
        <v>55.233333333333327</v>
      </c>
      <c r="H14" s="226">
        <v>12.7</v>
      </c>
      <c r="I14" s="226">
        <v>19.299999999999997</v>
      </c>
      <c r="J14" s="226">
        <v>137</v>
      </c>
      <c r="K14" s="226">
        <v>300.99999999999994</v>
      </c>
      <c r="L14" s="226">
        <v>439.26666666666659</v>
      </c>
      <c r="M14" s="226">
        <v>744.29999999999984</v>
      </c>
    </row>
    <row r="15" spans="1:13">
      <c r="A15" s="225">
        <v>2011</v>
      </c>
      <c r="B15" s="226">
        <v>866.5</v>
      </c>
      <c r="C15" s="226">
        <v>720.4000000000002</v>
      </c>
      <c r="D15" s="226">
        <v>660.1</v>
      </c>
      <c r="E15" s="226">
        <v>379.3</v>
      </c>
      <c r="F15" s="226">
        <v>168.09999999999997</v>
      </c>
      <c r="G15" s="226">
        <v>64.099999999999994</v>
      </c>
      <c r="H15" s="226">
        <v>3.7</v>
      </c>
      <c r="I15" s="226">
        <v>13.6</v>
      </c>
      <c r="J15" s="226">
        <v>106.33333333333331</v>
      </c>
      <c r="K15" s="226">
        <v>276.60000000000008</v>
      </c>
      <c r="L15" s="226">
        <v>399.39999999999992</v>
      </c>
      <c r="M15" s="226">
        <v>609.79999999999984</v>
      </c>
    </row>
    <row r="16" spans="1:13">
      <c r="A16" s="225">
        <v>2012</v>
      </c>
      <c r="B16" s="226">
        <v>694.59999999999991</v>
      </c>
      <c r="C16" s="226">
        <v>611.39999999999986</v>
      </c>
      <c r="D16" s="226">
        <v>388.69999999999987</v>
      </c>
      <c r="E16" s="226">
        <v>399</v>
      </c>
      <c r="F16" s="226">
        <v>123.8</v>
      </c>
      <c r="G16" s="226">
        <v>56.4</v>
      </c>
      <c r="H16" s="226">
        <v>0.4</v>
      </c>
      <c r="I16" s="226">
        <v>22.5</v>
      </c>
      <c r="J16" s="226">
        <v>134.69999999999999</v>
      </c>
      <c r="K16" s="226">
        <v>292.2</v>
      </c>
      <c r="L16" s="226">
        <v>505.72222222222223</v>
      </c>
      <c r="M16" s="226">
        <v>590.9</v>
      </c>
    </row>
    <row r="17" spans="1:13">
      <c r="A17" s="225">
        <v>2013</v>
      </c>
      <c r="B17" s="226">
        <v>703.36666666666667</v>
      </c>
      <c r="C17" s="226">
        <v>699.59999999999991</v>
      </c>
      <c r="D17" s="226">
        <v>649</v>
      </c>
      <c r="E17" s="226">
        <v>414.2</v>
      </c>
      <c r="F17" s="226">
        <v>160.66666666666669</v>
      </c>
      <c r="G17" s="226">
        <v>67.399999999999991</v>
      </c>
      <c r="H17" s="226">
        <v>19.599999999999998</v>
      </c>
      <c r="I17" s="226">
        <v>33.9</v>
      </c>
      <c r="J17" s="226">
        <v>133.1</v>
      </c>
      <c r="K17" s="226">
        <v>270.68888888888893</v>
      </c>
      <c r="L17" s="226">
        <v>557.36666666666667</v>
      </c>
      <c r="M17" s="226">
        <v>767.19999999999993</v>
      </c>
    </row>
    <row r="18" spans="1:13">
      <c r="A18" s="225">
        <v>2014</v>
      </c>
      <c r="B18" s="226">
        <v>899.69999999999982</v>
      </c>
      <c r="C18" s="226">
        <v>820.9666666666667</v>
      </c>
      <c r="D18" s="226">
        <v>767.15555555555545</v>
      </c>
      <c r="E18" s="226">
        <v>423.06666666666666</v>
      </c>
      <c r="F18" s="226">
        <v>185.6</v>
      </c>
      <c r="G18" s="226">
        <v>35.999999999999993</v>
      </c>
      <c r="H18" s="226">
        <v>59.100000000000009</v>
      </c>
      <c r="I18" s="226">
        <v>40.5</v>
      </c>
      <c r="J18" s="226">
        <v>117.19999999999999</v>
      </c>
      <c r="K18" s="226">
        <v>292.40000000000003</v>
      </c>
      <c r="L18" s="226">
        <v>548.06666666666661</v>
      </c>
      <c r="M18" s="226">
        <v>623.73333333333346</v>
      </c>
    </row>
    <row r="19" spans="1:13">
      <c r="A19" s="225">
        <v>2015</v>
      </c>
      <c r="B19" s="226">
        <v>871.19999999999993</v>
      </c>
      <c r="C19" s="226">
        <v>928.1</v>
      </c>
      <c r="D19" s="226">
        <v>701.5</v>
      </c>
      <c r="E19" s="226">
        <v>382.84999999999997</v>
      </c>
      <c r="F19" s="226">
        <v>135.30000000000001</v>
      </c>
      <c r="G19" s="226">
        <v>59.199999999999996</v>
      </c>
      <c r="H19" s="226">
        <v>31.3</v>
      </c>
      <c r="I19" s="226">
        <v>35</v>
      </c>
      <c r="J19" s="226">
        <v>58</v>
      </c>
      <c r="K19" s="226">
        <v>310.5</v>
      </c>
      <c r="L19" s="226">
        <v>387.09999999999997</v>
      </c>
      <c r="M19" s="226">
        <v>491.90000000000003</v>
      </c>
    </row>
    <row r="20" spans="1:13">
      <c r="A20" s="225">
        <v>2016</v>
      </c>
      <c r="B20" s="226">
        <v>744.95000000000016</v>
      </c>
      <c r="C20" s="226">
        <v>660.05</v>
      </c>
      <c r="D20" s="226">
        <v>522.60000000000014</v>
      </c>
      <c r="E20" s="226">
        <v>438.15</v>
      </c>
      <c r="F20" s="226">
        <v>187.6</v>
      </c>
      <c r="G20" s="226">
        <v>66.550000000000026</v>
      </c>
      <c r="H20" s="226">
        <v>17.3</v>
      </c>
      <c r="I20" s="226">
        <v>3</v>
      </c>
      <c r="J20" s="226">
        <v>66.599999999999994</v>
      </c>
      <c r="K20" s="226">
        <v>250.79999999999995</v>
      </c>
      <c r="L20" s="226">
        <v>383.15</v>
      </c>
      <c r="M20" s="226">
        <v>678.6</v>
      </c>
    </row>
    <row r="21" spans="1:13">
      <c r="A21" s="225">
        <v>2017</v>
      </c>
      <c r="B21" s="226">
        <v>683</v>
      </c>
      <c r="C21" s="226">
        <v>559.29999999999995</v>
      </c>
      <c r="D21" s="226">
        <v>649.80000000000007</v>
      </c>
      <c r="E21" s="226">
        <v>306.90000000000003</v>
      </c>
      <c r="F21" s="226">
        <v>228.2</v>
      </c>
      <c r="G21" s="226">
        <v>57.099999999999994</v>
      </c>
      <c r="H21" s="226">
        <v>9.4</v>
      </c>
      <c r="I21" s="226">
        <v>47.399999999999991</v>
      </c>
      <c r="J21" s="226">
        <v>92.4</v>
      </c>
      <c r="K21" s="226">
        <v>206.3</v>
      </c>
      <c r="L21" s="226">
        <v>506.2999999999999</v>
      </c>
      <c r="M21" s="226">
        <v>775.09999999999991</v>
      </c>
    </row>
    <row r="22" spans="1:13">
      <c r="A22" s="225">
        <v>2018</v>
      </c>
      <c r="B22" s="226">
        <v>792.89999999999986</v>
      </c>
      <c r="C22" s="226">
        <v>619.6</v>
      </c>
      <c r="D22" s="226">
        <v>631.59999999999991</v>
      </c>
      <c r="E22" s="226">
        <v>515.69999999999993</v>
      </c>
      <c r="F22" s="226">
        <v>120</v>
      </c>
      <c r="G22" s="226">
        <v>46.500000000000007</v>
      </c>
      <c r="H22" s="226">
        <v>11</v>
      </c>
      <c r="I22" s="226">
        <v>5.7</v>
      </c>
      <c r="J22" s="226">
        <v>87.899999999999991</v>
      </c>
      <c r="K22" s="226">
        <v>338.7</v>
      </c>
      <c r="L22" s="226">
        <v>568.90000000000009</v>
      </c>
      <c r="M22" s="226">
        <v>623.70000000000005</v>
      </c>
    </row>
    <row r="23" spans="1:13" ht="16" thickBot="1">
      <c r="A23" s="227">
        <v>2019</v>
      </c>
      <c r="B23" s="228">
        <v>848.80000000000007</v>
      </c>
      <c r="C23" s="228">
        <v>690</v>
      </c>
      <c r="D23" s="228">
        <v>674.125</v>
      </c>
      <c r="E23" s="228">
        <v>412.49999999999994</v>
      </c>
      <c r="F23" s="228">
        <v>227.05000000000004</v>
      </c>
      <c r="G23" s="228">
        <v>70.2</v>
      </c>
      <c r="H23" s="228">
        <v>6.6000000000000005</v>
      </c>
      <c r="I23" s="228">
        <v>25.1</v>
      </c>
      <c r="J23" s="228">
        <v>90.899999999999991</v>
      </c>
      <c r="K23" s="228">
        <v>293.8</v>
      </c>
      <c r="L23" s="228">
        <v>576.79999999999984</v>
      </c>
      <c r="M23" s="228">
        <v>647.29999999999995</v>
      </c>
    </row>
    <row r="24" spans="1:13">
      <c r="A24" s="229" t="s">
        <v>185</v>
      </c>
      <c r="B24" s="230">
        <f>AVERAGE(B14:B23)</f>
        <v>789.65166666666664</v>
      </c>
      <c r="C24" s="230">
        <f t="shared" ref="C24:M24" si="0">AVERAGE(C14:C23)</f>
        <v>698.95166666666671</v>
      </c>
      <c r="D24" s="230">
        <f t="shared" si="0"/>
        <v>614.92805555555549</v>
      </c>
      <c r="E24" s="230">
        <f t="shared" si="0"/>
        <v>394.48666666666668</v>
      </c>
      <c r="F24" s="230">
        <f t="shared" si="0"/>
        <v>168.45166666666665</v>
      </c>
      <c r="G24" s="230">
        <f t="shared" si="0"/>
        <v>57.868333333333339</v>
      </c>
      <c r="H24" s="230">
        <f t="shared" si="0"/>
        <v>17.11</v>
      </c>
      <c r="I24" s="230">
        <f t="shared" si="0"/>
        <v>24.599999999999998</v>
      </c>
      <c r="J24" s="230">
        <f t="shared" si="0"/>
        <v>102.41333333333333</v>
      </c>
      <c r="K24" s="230">
        <f t="shared" si="0"/>
        <v>283.29888888888888</v>
      </c>
      <c r="L24" s="230">
        <f t="shared" si="0"/>
        <v>487.20722222222219</v>
      </c>
      <c r="M24" s="231">
        <f t="shared" si="0"/>
        <v>655.25333333333333</v>
      </c>
    </row>
    <row r="25" spans="1:13">
      <c r="A25" s="232" t="s">
        <v>186</v>
      </c>
      <c r="B25" s="233">
        <f>AVERAGE(B4:B23)</f>
        <v>788.44257874815844</v>
      </c>
      <c r="C25" s="233">
        <f t="shared" ref="C25:M25" si="1">AVERAGE(C4:C23)</f>
        <v>705.01582429081486</v>
      </c>
      <c r="D25" s="233">
        <f t="shared" si="1"/>
        <v>619.82069444444437</v>
      </c>
      <c r="E25" s="233">
        <f t="shared" si="1"/>
        <v>384.38858024691353</v>
      </c>
      <c r="F25" s="233">
        <f t="shared" si="1"/>
        <v>194.27916666666664</v>
      </c>
      <c r="G25" s="233">
        <f t="shared" si="1"/>
        <v>64.131481862520943</v>
      </c>
      <c r="H25" s="233">
        <f t="shared" si="1"/>
        <v>24.15388888888889</v>
      </c>
      <c r="I25" s="233">
        <f t="shared" si="1"/>
        <v>29.121666666666677</v>
      </c>
      <c r="J25" s="233">
        <f t="shared" si="1"/>
        <v>106.22499999999999</v>
      </c>
      <c r="K25" s="233">
        <f t="shared" si="1"/>
        <v>294.79055555555556</v>
      </c>
      <c r="L25" s="233">
        <f t="shared" si="1"/>
        <v>474.84194444444438</v>
      </c>
      <c r="M25" s="234">
        <f t="shared" si="1"/>
        <v>673.2808436213993</v>
      </c>
    </row>
    <row r="26" spans="1:13" ht="16" thickBot="1">
      <c r="A26" s="235" t="s">
        <v>187</v>
      </c>
      <c r="B26" s="236">
        <f>TREND(B4:B23,$A$4:$A$23,2019)</f>
        <v>787.66149730369216</v>
      </c>
      <c r="C26" s="236">
        <f t="shared" ref="C26:M26" si="2">TREND(C4:C23,$A$4:$A$23,2019)</f>
        <v>695.5304865247831</v>
      </c>
      <c r="D26" s="236">
        <f t="shared" si="2"/>
        <v>634.71289682539646</v>
      </c>
      <c r="E26" s="236">
        <f t="shared" si="2"/>
        <v>403.76076719576713</v>
      </c>
      <c r="F26" s="236">
        <f t="shared" si="2"/>
        <v>164.31880952380925</v>
      </c>
      <c r="G26" s="236">
        <f t="shared" si="2"/>
        <v>53.822010364273865</v>
      </c>
      <c r="H26" s="236">
        <f t="shared" si="2"/>
        <v>13.336984126984134</v>
      </c>
      <c r="I26" s="236">
        <f t="shared" si="2"/>
        <v>23.479523809523698</v>
      </c>
      <c r="J26" s="236">
        <f t="shared" si="2"/>
        <v>87.805714285714203</v>
      </c>
      <c r="K26" s="236">
        <f t="shared" si="2"/>
        <v>277.20015873015882</v>
      </c>
      <c r="L26" s="236">
        <f t="shared" si="2"/>
        <v>503.52571428571355</v>
      </c>
      <c r="M26" s="237">
        <f t="shared" si="2"/>
        <v>642.63911228688994</v>
      </c>
    </row>
    <row r="27" spans="1:13">
      <c r="A27" s="238"/>
      <c r="B27" s="238"/>
      <c r="C27" s="238"/>
      <c r="D27" s="238"/>
      <c r="E27" s="238"/>
      <c r="F27" s="238"/>
      <c r="G27" s="238"/>
      <c r="H27" s="238"/>
      <c r="I27" s="238"/>
      <c r="J27" s="238"/>
      <c r="K27" s="238"/>
      <c r="L27" s="238"/>
      <c r="M27" s="238"/>
    </row>
    <row r="28" spans="1:13">
      <c r="A28" s="362" t="s">
        <v>188</v>
      </c>
      <c r="B28" s="362"/>
      <c r="C28" s="362"/>
      <c r="D28" s="362"/>
      <c r="E28" s="362"/>
      <c r="F28" s="362"/>
      <c r="G28" s="362"/>
      <c r="H28" s="362"/>
      <c r="I28" s="362"/>
      <c r="J28" s="362"/>
      <c r="K28" s="362"/>
      <c r="L28" s="362"/>
      <c r="M28" s="362"/>
    </row>
    <row r="29" spans="1:13">
      <c r="A29" s="223" t="s">
        <v>189</v>
      </c>
      <c r="B29" s="224" t="s">
        <v>158</v>
      </c>
      <c r="C29" s="224" t="s">
        <v>159</v>
      </c>
      <c r="D29" s="224" t="s">
        <v>160</v>
      </c>
      <c r="E29" s="224" t="s">
        <v>161</v>
      </c>
      <c r="F29" s="224" t="s">
        <v>6</v>
      </c>
      <c r="G29" s="224" t="s">
        <v>162</v>
      </c>
      <c r="H29" s="224" t="s">
        <v>163</v>
      </c>
      <c r="I29" s="224" t="s">
        <v>164</v>
      </c>
      <c r="J29" s="224" t="s">
        <v>165</v>
      </c>
      <c r="K29" s="224" t="s">
        <v>166</v>
      </c>
      <c r="L29" s="224" t="s">
        <v>167</v>
      </c>
      <c r="M29" s="224" t="s">
        <v>168</v>
      </c>
    </row>
    <row r="30" spans="1:13">
      <c r="A30" s="225">
        <v>2000</v>
      </c>
      <c r="B30" s="226">
        <v>0</v>
      </c>
      <c r="C30" s="226">
        <v>0</v>
      </c>
      <c r="D30" s="226">
        <v>0</v>
      </c>
      <c r="E30" s="226">
        <v>0</v>
      </c>
      <c r="F30" s="226">
        <v>10.9</v>
      </c>
      <c r="G30" s="226">
        <v>19.8</v>
      </c>
      <c r="H30" s="226">
        <v>22.599999999999994</v>
      </c>
      <c r="I30" s="226">
        <v>39.624371284865113</v>
      </c>
      <c r="J30" s="226">
        <v>13.799999999999999</v>
      </c>
      <c r="K30" s="226">
        <v>0</v>
      </c>
      <c r="L30" s="226">
        <v>0</v>
      </c>
      <c r="M30" s="226">
        <v>0</v>
      </c>
    </row>
    <row r="31" spans="1:13">
      <c r="A31" s="225">
        <v>2001</v>
      </c>
      <c r="B31" s="226">
        <v>0</v>
      </c>
      <c r="C31" s="226">
        <v>0</v>
      </c>
      <c r="D31" s="226">
        <v>0</v>
      </c>
      <c r="E31" s="226">
        <v>0</v>
      </c>
      <c r="F31" s="226">
        <v>4.5</v>
      </c>
      <c r="G31" s="226">
        <v>37.6</v>
      </c>
      <c r="H31" s="226">
        <v>44.8</v>
      </c>
      <c r="I31" s="226">
        <v>56.5</v>
      </c>
      <c r="J31" s="226">
        <v>13.4</v>
      </c>
      <c r="K31" s="226">
        <v>0</v>
      </c>
      <c r="L31" s="226">
        <v>0</v>
      </c>
      <c r="M31" s="226">
        <v>0</v>
      </c>
    </row>
    <row r="32" spans="1:13">
      <c r="A32" s="225">
        <v>2002</v>
      </c>
      <c r="B32" s="226">
        <v>0</v>
      </c>
      <c r="C32" s="226">
        <v>0</v>
      </c>
      <c r="D32" s="226">
        <v>0</v>
      </c>
      <c r="E32" s="226">
        <v>5</v>
      </c>
      <c r="F32" s="226">
        <v>3.9</v>
      </c>
      <c r="G32" s="226">
        <v>43.300000000000011</v>
      </c>
      <c r="H32" s="226">
        <v>91.522222222222226</v>
      </c>
      <c r="I32" s="226">
        <v>44.6</v>
      </c>
      <c r="J32" s="226">
        <v>43.166666666666671</v>
      </c>
      <c r="K32" s="226">
        <v>3.7</v>
      </c>
      <c r="L32" s="226">
        <v>0</v>
      </c>
      <c r="M32" s="226">
        <v>0</v>
      </c>
    </row>
    <row r="33" spans="1:13">
      <c r="A33" s="225">
        <v>2003</v>
      </c>
      <c r="B33" s="226">
        <v>0</v>
      </c>
      <c r="C33" s="226">
        <v>0</v>
      </c>
      <c r="D33" s="226">
        <v>0</v>
      </c>
      <c r="E33" s="226">
        <v>0.3</v>
      </c>
      <c r="F33" s="226">
        <v>0</v>
      </c>
      <c r="G33" s="226">
        <v>17.600000000000001</v>
      </c>
      <c r="H33" s="226">
        <v>39.999999999999993</v>
      </c>
      <c r="I33" s="226">
        <v>54.4</v>
      </c>
      <c r="J33" s="226">
        <v>9.5000000000000018</v>
      </c>
      <c r="K33" s="226">
        <v>0</v>
      </c>
      <c r="L33" s="226">
        <v>0</v>
      </c>
      <c r="M33" s="226">
        <v>0</v>
      </c>
    </row>
    <row r="34" spans="1:13">
      <c r="A34" s="225">
        <v>2004</v>
      </c>
      <c r="B34" s="226">
        <v>0</v>
      </c>
      <c r="C34" s="226">
        <v>0</v>
      </c>
      <c r="D34" s="226">
        <v>0</v>
      </c>
      <c r="E34" s="226">
        <v>0</v>
      </c>
      <c r="F34" s="226">
        <v>7.5</v>
      </c>
      <c r="G34" s="226">
        <v>15.7</v>
      </c>
      <c r="H34" s="226">
        <v>35.300000000000004</v>
      </c>
      <c r="I34" s="226">
        <v>24.4</v>
      </c>
      <c r="J34" s="226">
        <v>20.399999999999999</v>
      </c>
      <c r="K34" s="226">
        <v>0</v>
      </c>
      <c r="L34" s="226">
        <v>0</v>
      </c>
      <c r="M34" s="226">
        <v>0</v>
      </c>
    </row>
    <row r="35" spans="1:13">
      <c r="A35" s="225">
        <v>2005</v>
      </c>
      <c r="B35" s="226">
        <v>0</v>
      </c>
      <c r="C35" s="226">
        <v>0</v>
      </c>
      <c r="D35" s="226">
        <v>0</v>
      </c>
      <c r="E35" s="226">
        <v>0.2</v>
      </c>
      <c r="F35" s="226">
        <v>0.6</v>
      </c>
      <c r="G35" s="226">
        <v>98.500000000000014</v>
      </c>
      <c r="H35" s="226">
        <v>85.299999999999955</v>
      </c>
      <c r="I35" s="226">
        <v>62.1</v>
      </c>
      <c r="J35" s="226">
        <v>22.6</v>
      </c>
      <c r="K35" s="226">
        <v>9.4</v>
      </c>
      <c r="L35" s="226">
        <v>0</v>
      </c>
      <c r="M35" s="226">
        <v>0</v>
      </c>
    </row>
    <row r="36" spans="1:13">
      <c r="A36" s="225">
        <v>2006</v>
      </c>
      <c r="B36" s="226">
        <v>0</v>
      </c>
      <c r="C36" s="226">
        <v>0</v>
      </c>
      <c r="D36" s="226">
        <v>0</v>
      </c>
      <c r="E36" s="226">
        <v>0</v>
      </c>
      <c r="F36" s="226">
        <v>21.200000000000003</v>
      </c>
      <c r="G36" s="226">
        <v>29.299999999999997</v>
      </c>
      <c r="H36" s="226">
        <v>96.499999999999986</v>
      </c>
      <c r="I36" s="226">
        <v>35.299999999999997</v>
      </c>
      <c r="J36" s="226">
        <v>2.8</v>
      </c>
      <c r="K36" s="226">
        <v>0</v>
      </c>
      <c r="L36" s="226">
        <v>0</v>
      </c>
      <c r="M36" s="226">
        <v>0</v>
      </c>
    </row>
    <row r="37" spans="1:13">
      <c r="A37" s="225">
        <v>2007</v>
      </c>
      <c r="B37" s="226">
        <v>0</v>
      </c>
      <c r="C37" s="226">
        <v>0</v>
      </c>
      <c r="D37" s="226">
        <v>0</v>
      </c>
      <c r="E37" s="226">
        <v>0</v>
      </c>
      <c r="F37" s="226">
        <v>16.100000000000001</v>
      </c>
      <c r="G37" s="226">
        <v>46.3</v>
      </c>
      <c r="H37" s="226">
        <v>43.4</v>
      </c>
      <c r="I37" s="226">
        <v>57.199999999999996</v>
      </c>
      <c r="J37" s="226">
        <v>29.4</v>
      </c>
      <c r="K37" s="226">
        <v>15.2</v>
      </c>
      <c r="L37" s="226">
        <v>0</v>
      </c>
      <c r="M37" s="226">
        <v>0</v>
      </c>
    </row>
    <row r="38" spans="1:13">
      <c r="A38" s="225">
        <v>2008</v>
      </c>
      <c r="B38" s="226">
        <v>0</v>
      </c>
      <c r="C38" s="226">
        <v>0</v>
      </c>
      <c r="D38" s="226">
        <v>0</v>
      </c>
      <c r="E38" s="226">
        <v>1.4000000000000001</v>
      </c>
      <c r="F38" s="226">
        <v>0.3</v>
      </c>
      <c r="G38" s="226">
        <v>44.800000000000004</v>
      </c>
      <c r="H38" s="226">
        <v>55.099999999999987</v>
      </c>
      <c r="I38" s="226">
        <v>28.400000000000002</v>
      </c>
      <c r="J38" s="226">
        <v>4.4999999999999991</v>
      </c>
      <c r="K38" s="226">
        <v>0</v>
      </c>
      <c r="L38" s="226">
        <v>0</v>
      </c>
      <c r="M38" s="226">
        <v>0</v>
      </c>
    </row>
    <row r="39" spans="1:13">
      <c r="A39" s="225">
        <v>2009</v>
      </c>
      <c r="B39" s="226">
        <v>0</v>
      </c>
      <c r="C39" s="226">
        <v>0</v>
      </c>
      <c r="D39" s="226">
        <v>0</v>
      </c>
      <c r="E39" s="226">
        <v>0</v>
      </c>
      <c r="F39" s="226">
        <v>2</v>
      </c>
      <c r="G39" s="226">
        <v>15.500000000000002</v>
      </c>
      <c r="H39" s="226">
        <v>10.3</v>
      </c>
      <c r="I39" s="226">
        <v>48.099999999999994</v>
      </c>
      <c r="J39" s="226">
        <v>7.5</v>
      </c>
      <c r="K39" s="226">
        <v>0</v>
      </c>
      <c r="L39" s="226">
        <v>0</v>
      </c>
      <c r="M39" s="226">
        <v>0</v>
      </c>
    </row>
    <row r="40" spans="1:13">
      <c r="A40" s="225">
        <v>2010</v>
      </c>
      <c r="B40" s="226">
        <v>0</v>
      </c>
      <c r="C40" s="226">
        <v>0</v>
      </c>
      <c r="D40" s="226">
        <v>0</v>
      </c>
      <c r="E40" s="226">
        <v>1</v>
      </c>
      <c r="F40" s="226">
        <v>24</v>
      </c>
      <c r="G40" s="226">
        <v>18.7</v>
      </c>
      <c r="H40" s="226">
        <v>89.7</v>
      </c>
      <c r="I40" s="226">
        <v>82.000000000000014</v>
      </c>
      <c r="J40" s="226">
        <v>15.5</v>
      </c>
      <c r="K40" s="226">
        <v>0</v>
      </c>
      <c r="L40" s="226">
        <v>0</v>
      </c>
      <c r="M40" s="226">
        <v>0</v>
      </c>
    </row>
    <row r="41" spans="1:13">
      <c r="A41" s="225">
        <v>2011</v>
      </c>
      <c r="B41" s="226">
        <v>0</v>
      </c>
      <c r="C41" s="226">
        <v>0</v>
      </c>
      <c r="D41" s="226">
        <v>0</v>
      </c>
      <c r="E41" s="226">
        <v>0</v>
      </c>
      <c r="F41" s="226">
        <v>12.8</v>
      </c>
      <c r="G41" s="226">
        <v>16.400000000000002</v>
      </c>
      <c r="H41" s="226">
        <v>104.29999999999998</v>
      </c>
      <c r="I41" s="226">
        <v>53.300000000000004</v>
      </c>
      <c r="J41" s="226">
        <v>20.7</v>
      </c>
      <c r="K41" s="226">
        <v>0.3</v>
      </c>
      <c r="L41" s="226">
        <v>0</v>
      </c>
      <c r="M41" s="226">
        <v>0</v>
      </c>
    </row>
    <row r="42" spans="1:13">
      <c r="A42" s="225">
        <v>2012</v>
      </c>
      <c r="B42" s="226">
        <v>0</v>
      </c>
      <c r="C42" s="226">
        <v>0</v>
      </c>
      <c r="D42" s="226">
        <v>3.4000000000000004</v>
      </c>
      <c r="E42" s="226">
        <v>0</v>
      </c>
      <c r="F42" s="226">
        <v>17.400000000000002</v>
      </c>
      <c r="G42" s="226">
        <v>57.100000000000009</v>
      </c>
      <c r="H42" s="226">
        <v>94.000000000000028</v>
      </c>
      <c r="I42" s="226">
        <v>50.7</v>
      </c>
      <c r="J42" s="226">
        <v>15.300000000000002</v>
      </c>
      <c r="K42" s="226">
        <v>0</v>
      </c>
      <c r="L42" s="226">
        <v>0</v>
      </c>
      <c r="M42" s="226">
        <v>0</v>
      </c>
    </row>
    <row r="43" spans="1:13">
      <c r="A43" s="225">
        <v>2013</v>
      </c>
      <c r="B43" s="226">
        <v>0</v>
      </c>
      <c r="C43" s="226">
        <v>0</v>
      </c>
      <c r="D43" s="226">
        <v>0</v>
      </c>
      <c r="E43" s="226">
        <v>0</v>
      </c>
      <c r="F43" s="226">
        <v>18.7</v>
      </c>
      <c r="G43" s="226">
        <v>35.000000000000007</v>
      </c>
      <c r="H43" s="226">
        <v>75.899999999999991</v>
      </c>
      <c r="I43" s="226">
        <v>34.5</v>
      </c>
      <c r="J43" s="226">
        <v>17.2</v>
      </c>
      <c r="K43" s="226">
        <v>0</v>
      </c>
      <c r="L43" s="226">
        <v>0</v>
      </c>
      <c r="M43" s="226">
        <v>0</v>
      </c>
    </row>
    <row r="44" spans="1:13">
      <c r="A44" s="225">
        <v>2014</v>
      </c>
      <c r="B44" s="226">
        <v>0</v>
      </c>
      <c r="C44" s="226">
        <v>0</v>
      </c>
      <c r="D44" s="226">
        <v>0</v>
      </c>
      <c r="E44" s="226">
        <v>0</v>
      </c>
      <c r="F44" s="226">
        <v>7.6000000000000005</v>
      </c>
      <c r="G44" s="226">
        <v>44</v>
      </c>
      <c r="H44" s="226">
        <v>25.700000000000003</v>
      </c>
      <c r="I44" s="226">
        <v>32.400000000000006</v>
      </c>
      <c r="J44" s="226">
        <v>12.399999999999999</v>
      </c>
      <c r="K44" s="226">
        <v>0</v>
      </c>
      <c r="L44" s="226">
        <v>0</v>
      </c>
      <c r="M44" s="226">
        <v>0</v>
      </c>
    </row>
    <row r="45" spans="1:13">
      <c r="A45" s="225">
        <v>2015</v>
      </c>
      <c r="B45" s="226">
        <v>0</v>
      </c>
      <c r="C45" s="226">
        <v>0</v>
      </c>
      <c r="D45" s="226">
        <v>0</v>
      </c>
      <c r="E45" s="226">
        <v>0</v>
      </c>
      <c r="F45" s="226">
        <v>23.4</v>
      </c>
      <c r="G45" s="226">
        <v>5.7</v>
      </c>
      <c r="H45" s="226">
        <v>43.4</v>
      </c>
      <c r="I45" s="226">
        <v>38.1</v>
      </c>
      <c r="J45" s="226">
        <v>47.449999999999996</v>
      </c>
      <c r="K45" s="226">
        <v>0</v>
      </c>
      <c r="L45" s="226">
        <v>0</v>
      </c>
      <c r="M45" s="226">
        <v>0</v>
      </c>
    </row>
    <row r="46" spans="1:13">
      <c r="A46" s="225">
        <v>2016</v>
      </c>
      <c r="B46" s="226">
        <v>0</v>
      </c>
      <c r="C46" s="226">
        <v>0</v>
      </c>
      <c r="D46" s="226">
        <v>0</v>
      </c>
      <c r="E46" s="226">
        <v>0</v>
      </c>
      <c r="F46" s="226">
        <v>22.4</v>
      </c>
      <c r="G46" s="226">
        <v>27.55</v>
      </c>
      <c r="H46" s="226">
        <v>83</v>
      </c>
      <c r="I46" s="226">
        <v>91.249999999999986</v>
      </c>
      <c r="J46" s="226">
        <v>25.1</v>
      </c>
      <c r="K46" s="226">
        <v>1.5</v>
      </c>
      <c r="L46" s="226">
        <v>0</v>
      </c>
      <c r="M46" s="226">
        <v>0</v>
      </c>
    </row>
    <row r="47" spans="1:13">
      <c r="A47" s="225">
        <v>2017</v>
      </c>
      <c r="B47" s="226">
        <v>0</v>
      </c>
      <c r="C47" s="226">
        <v>0</v>
      </c>
      <c r="D47" s="226">
        <v>0</v>
      </c>
      <c r="E47" s="226">
        <v>0</v>
      </c>
      <c r="F47" s="226">
        <v>2.8</v>
      </c>
      <c r="G47" s="226">
        <v>33.200000000000003</v>
      </c>
      <c r="H47" s="226">
        <v>37.800000000000004</v>
      </c>
      <c r="I47" s="226">
        <v>26.3</v>
      </c>
      <c r="J47" s="226">
        <v>38.799999999999997</v>
      </c>
      <c r="K47" s="226">
        <v>1.4</v>
      </c>
      <c r="L47" s="226">
        <v>0</v>
      </c>
      <c r="M47" s="226">
        <v>0</v>
      </c>
    </row>
    <row r="48" spans="1:13">
      <c r="A48" s="225">
        <v>2018</v>
      </c>
      <c r="B48" s="226">
        <v>0</v>
      </c>
      <c r="C48" s="226">
        <v>0</v>
      </c>
      <c r="D48" s="226">
        <v>0</v>
      </c>
      <c r="E48" s="226">
        <v>0</v>
      </c>
      <c r="F48" s="226">
        <v>30.699999999999996</v>
      </c>
      <c r="G48" s="226">
        <v>28.7</v>
      </c>
      <c r="H48" s="226">
        <v>77.300000000000026</v>
      </c>
      <c r="I48" s="226">
        <v>80.900000000000006</v>
      </c>
      <c r="J48" s="226">
        <v>46.099999999999994</v>
      </c>
      <c r="K48" s="226">
        <v>7.9</v>
      </c>
      <c r="L48" s="226">
        <v>0</v>
      </c>
      <c r="M48" s="226">
        <v>0</v>
      </c>
    </row>
    <row r="49" spans="1:13" ht="16" thickBot="1">
      <c r="A49" s="227">
        <v>2019</v>
      </c>
      <c r="B49" s="228">
        <v>0</v>
      </c>
      <c r="C49" s="228">
        <v>0</v>
      </c>
      <c r="D49" s="228">
        <v>0</v>
      </c>
      <c r="E49" s="228">
        <v>0</v>
      </c>
      <c r="F49" s="228">
        <v>1</v>
      </c>
      <c r="G49" s="228">
        <v>16.399999999999999</v>
      </c>
      <c r="H49" s="228">
        <v>92.500000000000014</v>
      </c>
      <c r="I49" s="228">
        <v>33.300000000000004</v>
      </c>
      <c r="J49" s="228">
        <v>13.200000000000001</v>
      </c>
      <c r="K49" s="228">
        <v>2.1</v>
      </c>
      <c r="L49" s="228">
        <v>0</v>
      </c>
      <c r="M49" s="228">
        <v>0</v>
      </c>
    </row>
    <row r="50" spans="1:13">
      <c r="A50" s="229" t="s">
        <v>185</v>
      </c>
      <c r="B50" s="230">
        <f>AVERAGE(B40:B49)</f>
        <v>0</v>
      </c>
      <c r="C50" s="230">
        <f t="shared" ref="C50:M50" si="3">AVERAGE(C40:C49)</f>
        <v>0</v>
      </c>
      <c r="D50" s="230">
        <f t="shared" si="3"/>
        <v>0.34</v>
      </c>
      <c r="E50" s="230">
        <f t="shared" si="3"/>
        <v>0.1</v>
      </c>
      <c r="F50" s="230">
        <f t="shared" si="3"/>
        <v>16.080000000000002</v>
      </c>
      <c r="G50" s="230">
        <f t="shared" si="3"/>
        <v>28.274999999999999</v>
      </c>
      <c r="H50" s="230">
        <f t="shared" si="3"/>
        <v>72.36</v>
      </c>
      <c r="I50" s="230">
        <f t="shared" si="3"/>
        <v>52.274999999999999</v>
      </c>
      <c r="J50" s="230">
        <f t="shared" si="3"/>
        <v>25.174999999999997</v>
      </c>
      <c r="K50" s="230">
        <f t="shared" si="3"/>
        <v>1.32</v>
      </c>
      <c r="L50" s="230">
        <f t="shared" si="3"/>
        <v>0</v>
      </c>
      <c r="M50" s="231">
        <f t="shared" si="3"/>
        <v>0</v>
      </c>
    </row>
    <row r="51" spans="1:13">
      <c r="A51" s="232" t="s">
        <v>186</v>
      </c>
      <c r="B51" s="233">
        <f>AVERAGE(B30:B49)</f>
        <v>0</v>
      </c>
      <c r="C51" s="233">
        <f t="shared" ref="C51:M51" si="4">AVERAGE(C30:C49)</f>
        <v>0</v>
      </c>
      <c r="D51" s="233">
        <f t="shared" si="4"/>
        <v>0.17</v>
      </c>
      <c r="E51" s="233">
        <f t="shared" si="4"/>
        <v>0.39500000000000002</v>
      </c>
      <c r="F51" s="233">
        <f t="shared" si="4"/>
        <v>11.39</v>
      </c>
      <c r="G51" s="233">
        <f t="shared" si="4"/>
        <v>32.557500000000005</v>
      </c>
      <c r="H51" s="233">
        <f t="shared" si="4"/>
        <v>62.421111111111102</v>
      </c>
      <c r="I51" s="233">
        <f t="shared" si="4"/>
        <v>48.66871856424325</v>
      </c>
      <c r="J51" s="233">
        <f t="shared" si="4"/>
        <v>20.940833333333334</v>
      </c>
      <c r="K51" s="233">
        <f t="shared" si="4"/>
        <v>2.0750000000000002</v>
      </c>
      <c r="L51" s="233">
        <f t="shared" si="4"/>
        <v>0</v>
      </c>
      <c r="M51" s="234">
        <f t="shared" si="4"/>
        <v>0</v>
      </c>
    </row>
    <row r="52" spans="1:13" ht="16" thickBot="1">
      <c r="A52" s="235" t="s">
        <v>187</v>
      </c>
      <c r="B52" s="236">
        <f>TREND(B30:B49,$A$30:$A$49,2019)</f>
        <v>0</v>
      </c>
      <c r="C52" s="236">
        <f t="shared" ref="C52:M52" si="5">TREND(C30:C49,$A$30:$A$49,2019)</f>
        <v>0</v>
      </c>
      <c r="D52" s="236">
        <f t="shared" si="5"/>
        <v>0.29142857142857537</v>
      </c>
      <c r="E52" s="236">
        <f t="shared" si="5"/>
        <v>-0.20428571428571729</v>
      </c>
      <c r="F52" s="236">
        <f t="shared" si="5"/>
        <v>17.235714285714266</v>
      </c>
      <c r="G52" s="236">
        <f t="shared" si="5"/>
        <v>26.652857142856874</v>
      </c>
      <c r="H52" s="236">
        <f t="shared" si="5"/>
        <v>73.294444444444707</v>
      </c>
      <c r="I52" s="236">
        <f t="shared" si="5"/>
        <v>51.905053889868668</v>
      </c>
      <c r="J52" s="236">
        <f t="shared" si="5"/>
        <v>27.90119047619055</v>
      </c>
      <c r="K52" s="236">
        <f t="shared" si="5"/>
        <v>2.0714285714285712</v>
      </c>
      <c r="L52" s="236">
        <f t="shared" si="5"/>
        <v>0</v>
      </c>
      <c r="M52" s="237">
        <f t="shared" si="5"/>
        <v>0</v>
      </c>
    </row>
  </sheetData>
  <mergeCells count="2">
    <mergeCell ref="A2:M2"/>
    <mergeCell ref="A28:M28"/>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49"/>
  <sheetViews>
    <sheetView workbookViewId="0">
      <pane ySplit="2" topLeftCell="A3" activePane="bottomLeft" state="frozen"/>
      <selection activeCell="U19" sqref="U19"/>
      <selection pane="bottomLeft"/>
    </sheetView>
  </sheetViews>
  <sheetFormatPr defaultColWidth="8.58203125" defaultRowHeight="14.5"/>
  <cols>
    <col min="1" max="1" width="11.08203125" style="2" bestFit="1" customWidth="1"/>
    <col min="2" max="2" width="12.5" style="2" customWidth="1"/>
    <col min="3" max="9" width="13.83203125" style="7" customWidth="1"/>
    <col min="10" max="10" width="8.58203125" style="1"/>
    <col min="11" max="11" width="16.33203125" style="4" customWidth="1"/>
    <col min="12" max="16384" width="8.58203125" style="4"/>
  </cols>
  <sheetData>
    <row r="1" spans="1:11" ht="15.65" customHeight="1">
      <c r="C1" s="3" t="s">
        <v>14</v>
      </c>
      <c r="D1" s="3" t="s">
        <v>48</v>
      </c>
      <c r="E1" s="3" t="s">
        <v>54</v>
      </c>
      <c r="F1" s="3" t="s">
        <v>55</v>
      </c>
      <c r="G1" s="3" t="s">
        <v>56</v>
      </c>
      <c r="H1" s="3" t="s">
        <v>57</v>
      </c>
      <c r="I1" s="3" t="s">
        <v>139</v>
      </c>
      <c r="K1" s="363" t="s">
        <v>63</v>
      </c>
    </row>
    <row r="2" spans="1:11" s="6" customFormat="1" ht="29">
      <c r="A2" s="5" t="s">
        <v>0</v>
      </c>
      <c r="B2" s="5" t="s">
        <v>1</v>
      </c>
      <c r="C2" s="6" t="s">
        <v>47</v>
      </c>
      <c r="D2" s="6" t="s">
        <v>47</v>
      </c>
      <c r="E2" s="6" t="s">
        <v>47</v>
      </c>
      <c r="F2" s="6" t="s">
        <v>47</v>
      </c>
      <c r="G2" s="6" t="s">
        <v>47</v>
      </c>
      <c r="H2" s="6" t="s">
        <v>47</v>
      </c>
      <c r="I2" s="6" t="s">
        <v>47</v>
      </c>
      <c r="K2" s="363"/>
    </row>
    <row r="3" spans="1:11">
      <c r="A3" s="2">
        <v>2010</v>
      </c>
      <c r="B3" s="2" t="s">
        <v>2</v>
      </c>
      <c r="C3" s="7">
        <v>2807966</v>
      </c>
      <c r="D3" s="7">
        <v>1129794</v>
      </c>
      <c r="E3" s="7">
        <v>1895495</v>
      </c>
      <c r="F3" s="7">
        <v>2987793.42</v>
      </c>
      <c r="G3" s="7">
        <v>432</v>
      </c>
      <c r="H3" s="7">
        <v>2635.92</v>
      </c>
      <c r="I3" s="7">
        <v>78974</v>
      </c>
      <c r="K3" s="8">
        <f>SUM(C3:I3)</f>
        <v>8903090.3399999999</v>
      </c>
    </row>
    <row r="4" spans="1:11">
      <c r="A4" s="2">
        <v>2010</v>
      </c>
      <c r="B4" s="2" t="s">
        <v>3</v>
      </c>
      <c r="C4" s="7">
        <v>2398013</v>
      </c>
      <c r="D4" s="7">
        <v>1002429</v>
      </c>
      <c r="E4" s="7">
        <v>1726380</v>
      </c>
      <c r="F4" s="7">
        <v>2719865.33</v>
      </c>
      <c r="G4" s="7">
        <v>432</v>
      </c>
      <c r="H4" s="7">
        <v>2635.92</v>
      </c>
      <c r="I4" s="7">
        <v>67822</v>
      </c>
      <c r="K4" s="8">
        <f t="shared" ref="K4:K67" si="0">SUM(C4:I4)</f>
        <v>7917577.25</v>
      </c>
    </row>
    <row r="5" spans="1:11">
      <c r="A5" s="2">
        <v>2010</v>
      </c>
      <c r="B5" s="2" t="s">
        <v>4</v>
      </c>
      <c r="C5" s="7">
        <v>2326668</v>
      </c>
      <c r="D5" s="7">
        <v>1135135</v>
      </c>
      <c r="E5" s="7">
        <v>1874415</v>
      </c>
      <c r="F5" s="7">
        <v>3153854.67</v>
      </c>
      <c r="G5" s="7">
        <v>432</v>
      </c>
      <c r="H5" s="7">
        <v>2635.92</v>
      </c>
      <c r="I5" s="7">
        <v>67322</v>
      </c>
      <c r="K5" s="8">
        <f t="shared" si="0"/>
        <v>8560462.5899999999</v>
      </c>
    </row>
    <row r="6" spans="1:11">
      <c r="A6" s="2">
        <v>2010</v>
      </c>
      <c r="B6" s="2" t="s">
        <v>5</v>
      </c>
      <c r="C6" s="7">
        <v>1852839</v>
      </c>
      <c r="D6" s="7">
        <v>857587</v>
      </c>
      <c r="E6" s="7">
        <v>1670743</v>
      </c>
      <c r="F6" s="7">
        <v>2988409.23</v>
      </c>
      <c r="G6" s="7">
        <v>432</v>
      </c>
      <c r="H6" s="7">
        <v>2635.92</v>
      </c>
      <c r="I6" s="7">
        <v>56379</v>
      </c>
      <c r="K6" s="8">
        <f t="shared" si="0"/>
        <v>7429025.1500000004</v>
      </c>
    </row>
    <row r="7" spans="1:11">
      <c r="A7" s="2">
        <v>2010</v>
      </c>
      <c r="B7" s="2" t="s">
        <v>6</v>
      </c>
      <c r="C7" s="7">
        <v>1641240</v>
      </c>
      <c r="D7" s="7">
        <v>673005</v>
      </c>
      <c r="E7" s="7">
        <v>1488442</v>
      </c>
      <c r="F7" s="7">
        <v>3280535.19</v>
      </c>
      <c r="G7" s="7">
        <v>432</v>
      </c>
      <c r="H7" s="7">
        <v>2635.92</v>
      </c>
      <c r="I7" s="7">
        <v>50747</v>
      </c>
      <c r="K7" s="8">
        <f t="shared" si="0"/>
        <v>7137037.1099999994</v>
      </c>
    </row>
    <row r="8" spans="1:11">
      <c r="A8" s="2">
        <v>2010</v>
      </c>
      <c r="B8" s="2" t="s">
        <v>7</v>
      </c>
      <c r="C8" s="7">
        <v>1880915</v>
      </c>
      <c r="D8" s="7">
        <v>918635</v>
      </c>
      <c r="E8" s="7">
        <v>1682627</v>
      </c>
      <c r="F8" s="7">
        <v>3323992.35</v>
      </c>
      <c r="G8" s="7">
        <v>432</v>
      </c>
      <c r="H8" s="7">
        <v>2635.92</v>
      </c>
      <c r="I8" s="7">
        <v>41744</v>
      </c>
      <c r="K8" s="8">
        <f t="shared" si="0"/>
        <v>7850981.2699999996</v>
      </c>
    </row>
    <row r="9" spans="1:11">
      <c r="A9" s="2">
        <v>2010</v>
      </c>
      <c r="B9" s="2" t="s">
        <v>8</v>
      </c>
      <c r="C9" s="7">
        <v>1937939</v>
      </c>
      <c r="D9" s="7">
        <v>930475</v>
      </c>
      <c r="E9" s="7">
        <v>1595205</v>
      </c>
      <c r="F9" s="7">
        <v>3186821.42</v>
      </c>
      <c r="G9" s="7">
        <v>432</v>
      </c>
      <c r="H9" s="7">
        <v>2635.92</v>
      </c>
      <c r="I9" s="7">
        <v>44403</v>
      </c>
      <c r="K9" s="8">
        <f t="shared" si="0"/>
        <v>7697911.3399999999</v>
      </c>
    </row>
    <row r="10" spans="1:11">
      <c r="A10" s="2">
        <v>2010</v>
      </c>
      <c r="B10" s="2" t="s">
        <v>9</v>
      </c>
      <c r="C10" s="7">
        <v>1760952</v>
      </c>
      <c r="D10" s="7">
        <v>832166</v>
      </c>
      <c r="E10" s="7">
        <v>1576973</v>
      </c>
      <c r="F10" s="7">
        <v>3515730.56</v>
      </c>
      <c r="G10" s="7">
        <v>432</v>
      </c>
      <c r="H10" s="7">
        <v>2635.92</v>
      </c>
      <c r="I10" s="7">
        <v>49479</v>
      </c>
      <c r="K10" s="8">
        <f t="shared" si="0"/>
        <v>7738368.4800000004</v>
      </c>
    </row>
    <row r="11" spans="1:11">
      <c r="A11" s="2">
        <v>2010</v>
      </c>
      <c r="B11" s="2" t="s">
        <v>10</v>
      </c>
      <c r="C11" s="7">
        <v>1587449</v>
      </c>
      <c r="D11" s="7">
        <v>686612</v>
      </c>
      <c r="E11" s="7">
        <v>1565715</v>
      </c>
      <c r="F11" s="7">
        <v>3349150.85</v>
      </c>
      <c r="G11" s="7">
        <v>432</v>
      </c>
      <c r="H11" s="7">
        <v>2635.92</v>
      </c>
      <c r="I11" s="7">
        <v>54021</v>
      </c>
      <c r="K11" s="8">
        <f t="shared" si="0"/>
        <v>7246015.7699999996</v>
      </c>
    </row>
    <row r="12" spans="1:11">
      <c r="A12" s="2">
        <v>2010</v>
      </c>
      <c r="B12" s="2" t="s">
        <v>11</v>
      </c>
      <c r="C12" s="7">
        <v>2099260</v>
      </c>
      <c r="D12" s="7">
        <v>1036620</v>
      </c>
      <c r="E12" s="7">
        <v>1946273</v>
      </c>
      <c r="F12" s="7">
        <v>3349540.14</v>
      </c>
      <c r="G12" s="7">
        <v>432</v>
      </c>
      <c r="H12" s="7">
        <v>2635.92</v>
      </c>
      <c r="I12" s="7">
        <v>63433</v>
      </c>
      <c r="K12" s="8">
        <f t="shared" si="0"/>
        <v>8498194.0600000005</v>
      </c>
    </row>
    <row r="13" spans="1:11">
      <c r="A13" s="2">
        <v>2010</v>
      </c>
      <c r="B13" s="2" t="s">
        <v>12</v>
      </c>
      <c r="C13" s="7">
        <v>2114844</v>
      </c>
      <c r="D13" s="7">
        <v>985151</v>
      </c>
      <c r="E13" s="7">
        <v>1889785</v>
      </c>
      <c r="F13" s="7">
        <v>3287700.55</v>
      </c>
      <c r="G13" s="7">
        <v>2628</v>
      </c>
      <c r="H13" s="7">
        <v>2640.89</v>
      </c>
      <c r="I13" s="7">
        <v>68754</v>
      </c>
      <c r="K13" s="8">
        <f t="shared" si="0"/>
        <v>8351503.4399999995</v>
      </c>
    </row>
    <row r="14" spans="1:11">
      <c r="A14" s="2">
        <v>2010</v>
      </c>
      <c r="B14" s="2" t="s">
        <v>13</v>
      </c>
      <c r="C14" s="7">
        <v>2940409</v>
      </c>
      <c r="D14" s="7">
        <v>1199494</v>
      </c>
      <c r="E14" s="7">
        <v>1943200</v>
      </c>
      <c r="F14" s="7">
        <v>2934061.26</v>
      </c>
      <c r="G14" s="7">
        <v>2784</v>
      </c>
      <c r="H14" s="7">
        <v>2586.2399999999998</v>
      </c>
      <c r="I14" s="7">
        <v>76121</v>
      </c>
      <c r="K14" s="8">
        <f t="shared" si="0"/>
        <v>9098655.5</v>
      </c>
    </row>
    <row r="15" spans="1:11">
      <c r="A15" s="2">
        <f t="shared" ref="A15:A46" si="1">A3+1</f>
        <v>2011</v>
      </c>
      <c r="B15" s="2" t="s">
        <v>2</v>
      </c>
      <c r="C15" s="7">
        <v>2840422</v>
      </c>
      <c r="D15" s="7">
        <v>1145630</v>
      </c>
      <c r="E15" s="7">
        <v>1959153</v>
      </c>
      <c r="F15" s="7">
        <v>3198603.16</v>
      </c>
      <c r="G15" s="7">
        <v>432</v>
      </c>
      <c r="H15" s="7">
        <v>2586.2399999999998</v>
      </c>
      <c r="I15" s="7">
        <v>77389</v>
      </c>
      <c r="K15" s="8">
        <f t="shared" si="0"/>
        <v>9224215.4000000004</v>
      </c>
    </row>
    <row r="16" spans="1:11">
      <c r="A16" s="2">
        <f t="shared" si="1"/>
        <v>2011</v>
      </c>
      <c r="B16" s="2" t="s">
        <v>3</v>
      </c>
      <c r="C16" s="7">
        <v>2558914</v>
      </c>
      <c r="D16" s="7">
        <v>1137646</v>
      </c>
      <c r="E16" s="7">
        <v>1918589</v>
      </c>
      <c r="F16" s="7">
        <v>3075468.07</v>
      </c>
      <c r="G16" s="7">
        <v>432</v>
      </c>
      <c r="H16" s="7">
        <v>2575.44</v>
      </c>
      <c r="I16" s="7">
        <v>66462</v>
      </c>
      <c r="K16" s="8">
        <f t="shared" si="0"/>
        <v>8760086.5099999998</v>
      </c>
    </row>
    <row r="17" spans="1:11">
      <c r="A17" s="2">
        <f t="shared" si="1"/>
        <v>2011</v>
      </c>
      <c r="B17" s="2" t="s">
        <v>4</v>
      </c>
      <c r="C17" s="7">
        <v>2448758</v>
      </c>
      <c r="D17" s="7">
        <v>1090457</v>
      </c>
      <c r="E17" s="7">
        <v>2049599</v>
      </c>
      <c r="F17" s="7">
        <v>3527368.94</v>
      </c>
      <c r="G17" s="7">
        <v>432</v>
      </c>
      <c r="H17" s="7">
        <v>2593.44</v>
      </c>
      <c r="I17" s="7">
        <v>65927</v>
      </c>
      <c r="K17" s="8">
        <f t="shared" si="0"/>
        <v>9185135.379999999</v>
      </c>
    </row>
    <row r="18" spans="1:11">
      <c r="A18" s="2">
        <f t="shared" si="1"/>
        <v>2011</v>
      </c>
      <c r="B18" s="2" t="s">
        <v>5</v>
      </c>
      <c r="C18" s="7">
        <v>2033864</v>
      </c>
      <c r="D18" s="7">
        <v>896565.35</v>
      </c>
      <c r="E18" s="7">
        <v>1519482</v>
      </c>
      <c r="F18" s="7">
        <v>2961150.65</v>
      </c>
      <c r="G18" s="7">
        <v>432</v>
      </c>
      <c r="H18" s="7">
        <v>2586.2399999999998</v>
      </c>
      <c r="I18" s="7">
        <v>55212</v>
      </c>
      <c r="K18" s="8">
        <f t="shared" si="0"/>
        <v>7469292.2400000002</v>
      </c>
    </row>
    <row r="19" spans="1:11">
      <c r="A19" s="2">
        <f t="shared" si="1"/>
        <v>2011</v>
      </c>
      <c r="B19" s="2" t="s">
        <v>6</v>
      </c>
      <c r="C19" s="7">
        <v>1708332</v>
      </c>
      <c r="D19" s="7">
        <v>833722</v>
      </c>
      <c r="E19" s="7">
        <v>1474587</v>
      </c>
      <c r="F19" s="7">
        <v>3263034.18</v>
      </c>
      <c r="G19" s="7">
        <v>432</v>
      </c>
      <c r="H19" s="7">
        <v>1056.0899999999999</v>
      </c>
      <c r="I19" s="7">
        <v>50712</v>
      </c>
      <c r="K19" s="8">
        <f t="shared" si="0"/>
        <v>7331875.2699999996</v>
      </c>
    </row>
    <row r="20" spans="1:11">
      <c r="A20" s="2">
        <f t="shared" si="1"/>
        <v>2011</v>
      </c>
      <c r="B20" s="2" t="s">
        <v>7</v>
      </c>
      <c r="C20" s="7">
        <v>1739312</v>
      </c>
      <c r="D20" s="7">
        <v>890916</v>
      </c>
      <c r="E20" s="7">
        <v>1539305</v>
      </c>
      <c r="F20" s="7">
        <v>3370265.99</v>
      </c>
      <c r="G20" s="7">
        <v>432</v>
      </c>
      <c r="H20" s="7">
        <v>2514.96</v>
      </c>
      <c r="I20" s="7">
        <v>41715</v>
      </c>
      <c r="K20" s="8">
        <f t="shared" si="0"/>
        <v>7584460.9500000002</v>
      </c>
    </row>
    <row r="21" spans="1:11">
      <c r="A21" s="2">
        <f t="shared" si="1"/>
        <v>2011</v>
      </c>
      <c r="B21" s="2" t="s">
        <v>8</v>
      </c>
      <c r="C21" s="7">
        <v>1981258</v>
      </c>
      <c r="D21" s="7">
        <v>949092</v>
      </c>
      <c r="E21" s="7">
        <v>1638791</v>
      </c>
      <c r="F21" s="7">
        <v>3003979.82</v>
      </c>
      <c r="G21" s="7">
        <v>432</v>
      </c>
      <c r="H21" s="7">
        <v>2448</v>
      </c>
      <c r="I21" s="7">
        <v>44373</v>
      </c>
      <c r="K21" s="8">
        <f t="shared" si="0"/>
        <v>7620373.8200000003</v>
      </c>
    </row>
    <row r="22" spans="1:11">
      <c r="A22" s="2">
        <f t="shared" si="1"/>
        <v>2011</v>
      </c>
      <c r="B22" s="2" t="s">
        <v>9</v>
      </c>
      <c r="C22" s="7">
        <v>1841741</v>
      </c>
      <c r="D22" s="7">
        <v>931860</v>
      </c>
      <c r="E22" s="7">
        <v>1775200</v>
      </c>
      <c r="F22" s="7">
        <v>3701097.07</v>
      </c>
      <c r="G22" s="7">
        <v>432</v>
      </c>
      <c r="H22" s="7">
        <v>2553.84</v>
      </c>
      <c r="I22" s="7">
        <v>49445</v>
      </c>
      <c r="K22" s="8">
        <f t="shared" si="0"/>
        <v>8302328.9100000001</v>
      </c>
    </row>
    <row r="23" spans="1:11">
      <c r="A23" s="2">
        <f t="shared" si="1"/>
        <v>2011</v>
      </c>
      <c r="B23" s="2" t="s">
        <v>10</v>
      </c>
      <c r="C23" s="7">
        <v>1700026</v>
      </c>
      <c r="D23" s="7">
        <v>837233</v>
      </c>
      <c r="E23" s="7">
        <v>1842668</v>
      </c>
      <c r="F23" s="7">
        <v>3431933.45</v>
      </c>
      <c r="G23" s="7">
        <v>432</v>
      </c>
      <c r="H23" s="7">
        <v>2174.4</v>
      </c>
      <c r="I23" s="7">
        <v>53985</v>
      </c>
      <c r="K23" s="8">
        <f t="shared" si="0"/>
        <v>7868451.8500000006</v>
      </c>
    </row>
    <row r="24" spans="1:11">
      <c r="A24" s="2">
        <f t="shared" si="1"/>
        <v>2011</v>
      </c>
      <c r="B24" s="2" t="s">
        <v>11</v>
      </c>
      <c r="C24" s="7">
        <v>1927102</v>
      </c>
      <c r="D24" s="7">
        <v>897729</v>
      </c>
      <c r="E24" s="7">
        <v>1949534</v>
      </c>
      <c r="F24" s="7">
        <v>3538203.98</v>
      </c>
      <c r="G24" s="7">
        <v>432</v>
      </c>
      <c r="H24" s="7">
        <v>2174.4</v>
      </c>
      <c r="I24" s="7">
        <v>63390</v>
      </c>
      <c r="K24" s="8">
        <f t="shared" si="0"/>
        <v>8378565.3800000008</v>
      </c>
    </row>
    <row r="25" spans="1:11">
      <c r="A25" s="2">
        <f t="shared" si="1"/>
        <v>2011</v>
      </c>
      <c r="B25" s="2" t="s">
        <v>12</v>
      </c>
      <c r="C25" s="7">
        <v>2082396</v>
      </c>
      <c r="D25" s="7">
        <v>971209</v>
      </c>
      <c r="E25" s="7">
        <v>1828534</v>
      </c>
      <c r="F25" s="7">
        <v>3363192.58</v>
      </c>
      <c r="G25" s="7">
        <v>432</v>
      </c>
      <c r="H25" s="7">
        <v>2174.4</v>
      </c>
      <c r="I25" s="7">
        <v>68708</v>
      </c>
      <c r="K25" s="8">
        <f t="shared" si="0"/>
        <v>8316645.9800000004</v>
      </c>
    </row>
    <row r="26" spans="1:11">
      <c r="A26" s="2">
        <f t="shared" si="1"/>
        <v>2011</v>
      </c>
      <c r="B26" s="2" t="s">
        <v>13</v>
      </c>
      <c r="C26" s="7">
        <v>2604177</v>
      </c>
      <c r="D26" s="7">
        <v>1116391</v>
      </c>
      <c r="E26" s="7">
        <v>1862147</v>
      </c>
      <c r="F26" s="7">
        <v>3087217.04</v>
      </c>
      <c r="G26" s="7">
        <v>2811</v>
      </c>
      <c r="H26" s="7">
        <v>2174.4</v>
      </c>
      <c r="I26" s="7">
        <v>76070</v>
      </c>
      <c r="K26" s="8">
        <f t="shared" si="0"/>
        <v>8750987.4399999995</v>
      </c>
    </row>
    <row r="27" spans="1:11">
      <c r="A27" s="2">
        <f t="shared" si="1"/>
        <v>2012</v>
      </c>
      <c r="B27" s="2" t="s">
        <v>2</v>
      </c>
      <c r="C27" s="7">
        <v>2634754.34</v>
      </c>
      <c r="D27" s="7">
        <v>1104485.58</v>
      </c>
      <c r="E27" s="7">
        <v>1981493</v>
      </c>
      <c r="F27" s="7">
        <v>3453644.41</v>
      </c>
      <c r="G27" s="7">
        <v>432</v>
      </c>
      <c r="H27" s="7">
        <v>2174.4</v>
      </c>
      <c r="I27" s="7">
        <v>77337</v>
      </c>
      <c r="K27" s="8">
        <f t="shared" si="0"/>
        <v>9254320.7300000004</v>
      </c>
    </row>
    <row r="28" spans="1:11">
      <c r="A28" s="2">
        <f t="shared" si="1"/>
        <v>2012</v>
      </c>
      <c r="B28" s="2" t="s">
        <v>3</v>
      </c>
      <c r="C28" s="7">
        <v>2347813.4</v>
      </c>
      <c r="D28" s="7">
        <v>1135749.33</v>
      </c>
      <c r="E28" s="7">
        <v>1861736</v>
      </c>
      <c r="F28" s="7">
        <v>3378985.29</v>
      </c>
      <c r="G28" s="7">
        <v>432</v>
      </c>
      <c r="H28" s="7">
        <v>2174.4</v>
      </c>
      <c r="I28" s="7">
        <v>68789</v>
      </c>
      <c r="K28" s="8">
        <f t="shared" si="0"/>
        <v>8795679.4199999999</v>
      </c>
    </row>
    <row r="29" spans="1:11">
      <c r="A29" s="2">
        <f t="shared" si="1"/>
        <v>2012</v>
      </c>
      <c r="B29" s="2" t="s">
        <v>4</v>
      </c>
      <c r="C29" s="7">
        <v>2058832.49</v>
      </c>
      <c r="D29" s="7">
        <v>945313.3</v>
      </c>
      <c r="E29" s="7">
        <v>1981160</v>
      </c>
      <c r="F29" s="7">
        <v>3716340.48</v>
      </c>
      <c r="G29" s="7">
        <v>432</v>
      </c>
      <c r="H29" s="7">
        <v>2174.4</v>
      </c>
      <c r="I29" s="7">
        <v>65927</v>
      </c>
      <c r="K29" s="8">
        <f t="shared" si="0"/>
        <v>8770179.6699999999</v>
      </c>
    </row>
    <row r="30" spans="1:11">
      <c r="A30" s="2">
        <f t="shared" si="1"/>
        <v>2012</v>
      </c>
      <c r="B30" s="2" t="s">
        <v>5</v>
      </c>
      <c r="C30" s="7">
        <v>1931455.22</v>
      </c>
      <c r="D30" s="7">
        <v>810843.61</v>
      </c>
      <c r="E30" s="7">
        <v>1688490</v>
      </c>
      <c r="F30" s="7">
        <v>3428807.37</v>
      </c>
      <c r="G30" s="7">
        <v>432</v>
      </c>
      <c r="H30" s="7">
        <v>2174.4</v>
      </c>
      <c r="I30" s="7">
        <v>55212</v>
      </c>
      <c r="K30" s="8">
        <f t="shared" si="0"/>
        <v>7917414.6000000006</v>
      </c>
    </row>
    <row r="31" spans="1:11">
      <c r="A31" s="2">
        <f t="shared" si="1"/>
        <v>2012</v>
      </c>
      <c r="B31" s="2" t="s">
        <v>6</v>
      </c>
      <c r="C31" s="7">
        <v>1661336.33</v>
      </c>
      <c r="D31" s="7">
        <v>947875.48</v>
      </c>
      <c r="E31" s="7">
        <v>1781534</v>
      </c>
      <c r="F31" s="7">
        <v>3708889.33</v>
      </c>
      <c r="G31" s="7">
        <v>432</v>
      </c>
      <c r="H31" s="7">
        <v>2658.24</v>
      </c>
      <c r="I31" s="7">
        <v>50712</v>
      </c>
      <c r="K31" s="8">
        <f t="shared" si="0"/>
        <v>8153437.3800000008</v>
      </c>
    </row>
    <row r="32" spans="1:11">
      <c r="A32" s="2">
        <f t="shared" si="1"/>
        <v>2012</v>
      </c>
      <c r="B32" s="2" t="s">
        <v>7</v>
      </c>
      <c r="C32" s="7">
        <v>1775990.01</v>
      </c>
      <c r="D32" s="7">
        <v>933384.21</v>
      </c>
      <c r="E32" s="7">
        <v>1705939</v>
      </c>
      <c r="F32" s="7">
        <v>3697024.09</v>
      </c>
      <c r="G32" s="7">
        <v>432</v>
      </c>
      <c r="H32" s="7">
        <v>1690.56</v>
      </c>
      <c r="I32" s="7">
        <v>41715</v>
      </c>
      <c r="K32" s="8">
        <f t="shared" si="0"/>
        <v>8156174.8699999992</v>
      </c>
    </row>
    <row r="33" spans="1:11">
      <c r="A33" s="2">
        <f t="shared" si="1"/>
        <v>2012</v>
      </c>
      <c r="B33" s="2" t="s">
        <v>8</v>
      </c>
      <c r="C33" s="7">
        <v>2078766.25</v>
      </c>
      <c r="D33" s="7">
        <v>975445.97</v>
      </c>
      <c r="E33" s="7">
        <v>1600603</v>
      </c>
      <c r="F33" s="7">
        <v>3497844.7</v>
      </c>
      <c r="G33" s="7">
        <v>432</v>
      </c>
      <c r="H33" s="7">
        <v>2174.4</v>
      </c>
      <c r="I33" s="7">
        <v>44373</v>
      </c>
      <c r="K33" s="8">
        <f t="shared" si="0"/>
        <v>8199639.3200000003</v>
      </c>
    </row>
    <row r="34" spans="1:11">
      <c r="A34" s="2">
        <f t="shared" si="1"/>
        <v>2012</v>
      </c>
      <c r="B34" s="2" t="s">
        <v>9</v>
      </c>
      <c r="C34" s="7">
        <v>1847104.48</v>
      </c>
      <c r="D34" s="7">
        <v>838911.08</v>
      </c>
      <c r="E34" s="7">
        <v>1874090</v>
      </c>
      <c r="F34" s="7">
        <v>3947198</v>
      </c>
      <c r="G34" s="7">
        <v>432</v>
      </c>
      <c r="H34" s="7">
        <v>2174.4</v>
      </c>
      <c r="I34" s="7">
        <v>49445</v>
      </c>
      <c r="K34" s="8">
        <f t="shared" si="0"/>
        <v>8559354.9600000009</v>
      </c>
    </row>
    <row r="35" spans="1:11">
      <c r="A35" s="2">
        <f t="shared" si="1"/>
        <v>2012</v>
      </c>
      <c r="B35" s="2" t="s">
        <v>10</v>
      </c>
      <c r="C35" s="7">
        <v>1720761.94</v>
      </c>
      <c r="D35" s="7">
        <v>883535.3</v>
      </c>
      <c r="E35" s="7">
        <v>1712037.5899999999</v>
      </c>
      <c r="F35" s="7">
        <v>3496452.94</v>
      </c>
      <c r="G35" s="7">
        <v>432</v>
      </c>
      <c r="H35" s="7">
        <v>2174.4</v>
      </c>
      <c r="I35" s="7">
        <v>53985</v>
      </c>
      <c r="K35" s="8">
        <f t="shared" si="0"/>
        <v>7869379.1699999999</v>
      </c>
    </row>
    <row r="36" spans="1:11">
      <c r="A36" s="2">
        <f t="shared" si="1"/>
        <v>2012</v>
      </c>
      <c r="B36" s="2" t="s">
        <v>11</v>
      </c>
      <c r="C36" s="7">
        <v>1944810.74</v>
      </c>
      <c r="D36" s="7">
        <v>1007896.4</v>
      </c>
      <c r="E36" s="7">
        <v>1947647.1400000001</v>
      </c>
      <c r="F36" s="7">
        <v>3706059.32</v>
      </c>
      <c r="G36" s="7">
        <v>432</v>
      </c>
      <c r="H36" s="7">
        <v>2174.4</v>
      </c>
      <c r="I36" s="7">
        <v>63390</v>
      </c>
      <c r="K36" s="8">
        <f t="shared" si="0"/>
        <v>8672410</v>
      </c>
    </row>
    <row r="37" spans="1:11">
      <c r="A37" s="2">
        <f t="shared" si="1"/>
        <v>2012</v>
      </c>
      <c r="B37" s="2" t="s">
        <v>12</v>
      </c>
      <c r="C37" s="7">
        <v>2189644.7400000002</v>
      </c>
      <c r="D37" s="7">
        <v>1010421.33</v>
      </c>
      <c r="E37" s="7">
        <v>1826248.4</v>
      </c>
      <c r="F37" s="7">
        <v>3351781.29</v>
      </c>
      <c r="G37" s="7">
        <v>432</v>
      </c>
      <c r="H37" s="7">
        <v>2174.4</v>
      </c>
      <c r="I37" s="7">
        <v>68708</v>
      </c>
      <c r="K37" s="8">
        <f t="shared" si="0"/>
        <v>8449410.1600000001</v>
      </c>
    </row>
    <row r="38" spans="1:11">
      <c r="A38" s="2">
        <f t="shared" si="1"/>
        <v>2012</v>
      </c>
      <c r="B38" s="2" t="s">
        <v>13</v>
      </c>
      <c r="C38" s="7">
        <v>2583455.36</v>
      </c>
      <c r="D38" s="7">
        <v>1098488.3500000001</v>
      </c>
      <c r="E38" s="7">
        <v>1956358.76</v>
      </c>
      <c r="F38" s="7">
        <v>2954501.63</v>
      </c>
      <c r="G38" s="7">
        <v>981</v>
      </c>
      <c r="H38" s="7">
        <v>2174.4</v>
      </c>
      <c r="I38" s="7">
        <v>76070</v>
      </c>
      <c r="K38" s="8">
        <f t="shared" si="0"/>
        <v>8672029.5</v>
      </c>
    </row>
    <row r="39" spans="1:11">
      <c r="A39" s="2">
        <f t="shared" si="1"/>
        <v>2013</v>
      </c>
      <c r="B39" s="2" t="s">
        <v>2</v>
      </c>
      <c r="C39" s="7">
        <v>2657590.29</v>
      </c>
      <c r="D39" s="7">
        <v>1177766.01</v>
      </c>
      <c r="E39" s="7">
        <v>2140986.9300000002</v>
      </c>
      <c r="F39" s="7">
        <v>3498508.43</v>
      </c>
      <c r="G39" s="7">
        <v>432</v>
      </c>
      <c r="H39" s="7">
        <v>2174.4</v>
      </c>
      <c r="I39" s="7">
        <v>77337</v>
      </c>
      <c r="K39" s="8">
        <f t="shared" si="0"/>
        <v>9554795.0600000005</v>
      </c>
    </row>
    <row r="40" spans="1:11">
      <c r="A40" s="2">
        <f t="shared" si="1"/>
        <v>2013</v>
      </c>
      <c r="B40" s="2" t="s">
        <v>3</v>
      </c>
      <c r="C40" s="7">
        <v>2396547.23</v>
      </c>
      <c r="D40" s="7">
        <v>1087293.49</v>
      </c>
      <c r="E40" s="7">
        <v>1999949.08</v>
      </c>
      <c r="F40" s="7">
        <v>3366276.91</v>
      </c>
      <c r="G40" s="7">
        <v>432</v>
      </c>
      <c r="H40" s="7">
        <v>2174.4</v>
      </c>
      <c r="I40" s="7">
        <v>67038</v>
      </c>
      <c r="K40" s="8">
        <f t="shared" si="0"/>
        <v>8919711.1100000013</v>
      </c>
    </row>
    <row r="41" spans="1:11">
      <c r="A41" s="2">
        <f t="shared" si="1"/>
        <v>2013</v>
      </c>
      <c r="B41" s="2" t="s">
        <v>4</v>
      </c>
      <c r="C41" s="7">
        <v>2406368.5499999998</v>
      </c>
      <c r="D41" s="7">
        <v>1119041.26</v>
      </c>
      <c r="E41" s="7">
        <v>1421407.62</v>
      </c>
      <c r="F41" s="7">
        <v>4099314.53</v>
      </c>
      <c r="G41" s="7">
        <v>432</v>
      </c>
      <c r="H41" s="7">
        <v>2174.4</v>
      </c>
      <c r="I41" s="7">
        <v>66544</v>
      </c>
      <c r="K41" s="8">
        <f t="shared" si="0"/>
        <v>9115282.3599999994</v>
      </c>
    </row>
    <row r="42" spans="1:11">
      <c r="A42" s="2">
        <f t="shared" si="1"/>
        <v>2013</v>
      </c>
      <c r="B42" s="2" t="s">
        <v>5</v>
      </c>
      <c r="C42" s="7">
        <v>2027846.48</v>
      </c>
      <c r="D42" s="7">
        <v>962450.11</v>
      </c>
      <c r="E42" s="7">
        <v>1241333.1200000001</v>
      </c>
      <c r="F42" s="7">
        <v>4372420.95</v>
      </c>
      <c r="G42" s="7">
        <v>432</v>
      </c>
      <c r="H42" s="7">
        <v>2174.4</v>
      </c>
      <c r="I42" s="7">
        <v>55727</v>
      </c>
      <c r="K42" s="8">
        <f t="shared" si="0"/>
        <v>8662384.0600000005</v>
      </c>
    </row>
    <row r="43" spans="1:11">
      <c r="A43" s="2">
        <f t="shared" si="1"/>
        <v>2013</v>
      </c>
      <c r="B43" s="2" t="s">
        <v>6</v>
      </c>
      <c r="C43" s="7">
        <v>1731659.68</v>
      </c>
      <c r="D43" s="7">
        <v>889377.9</v>
      </c>
      <c r="E43" s="7">
        <v>1121355.94</v>
      </c>
      <c r="F43" s="7">
        <v>4474836.41</v>
      </c>
      <c r="G43" s="7">
        <v>432</v>
      </c>
      <c r="H43" s="7">
        <v>2174.4</v>
      </c>
      <c r="I43" s="7">
        <v>51186</v>
      </c>
      <c r="K43" s="8">
        <f t="shared" si="0"/>
        <v>8271022.3300000001</v>
      </c>
    </row>
    <row r="44" spans="1:11">
      <c r="A44" s="2">
        <f t="shared" si="1"/>
        <v>2013</v>
      </c>
      <c r="B44" s="2" t="s">
        <v>7</v>
      </c>
      <c r="C44" s="7">
        <v>1778893.53</v>
      </c>
      <c r="D44" s="7">
        <v>909806.06</v>
      </c>
      <c r="E44" s="7">
        <v>1102329.8799999999</v>
      </c>
      <c r="F44" s="7">
        <v>4215125.2</v>
      </c>
      <c r="G44" s="7">
        <v>432</v>
      </c>
      <c r="H44" s="7">
        <v>2174.4</v>
      </c>
      <c r="I44" s="7">
        <v>42106</v>
      </c>
      <c r="K44" s="8">
        <f t="shared" si="0"/>
        <v>8050867.0700000003</v>
      </c>
    </row>
    <row r="45" spans="1:11">
      <c r="A45" s="2">
        <f t="shared" si="1"/>
        <v>2013</v>
      </c>
      <c r="B45" s="2" t="s">
        <v>8</v>
      </c>
      <c r="C45" s="7">
        <v>2049768.81</v>
      </c>
      <c r="D45" s="7">
        <v>996810.08</v>
      </c>
      <c r="E45" s="7">
        <v>1230748.46</v>
      </c>
      <c r="F45" s="7">
        <v>4080092.81</v>
      </c>
      <c r="G45" s="7">
        <v>432</v>
      </c>
      <c r="H45" s="7">
        <v>2174.4</v>
      </c>
      <c r="I45" s="7">
        <v>44788</v>
      </c>
      <c r="K45" s="8">
        <f t="shared" si="0"/>
        <v>8404814.5600000005</v>
      </c>
    </row>
    <row r="46" spans="1:11">
      <c r="A46" s="2">
        <f t="shared" si="1"/>
        <v>2013</v>
      </c>
      <c r="B46" s="2" t="s">
        <v>9</v>
      </c>
      <c r="C46" s="7">
        <v>1810164.46</v>
      </c>
      <c r="D46" s="7">
        <v>930594.35</v>
      </c>
      <c r="E46" s="7">
        <v>1118386.04</v>
      </c>
      <c r="F46" s="7">
        <v>4452236.24</v>
      </c>
      <c r="G46" s="7">
        <v>432</v>
      </c>
      <c r="H46" s="7">
        <v>2174.4</v>
      </c>
      <c r="I46" s="7">
        <v>49908</v>
      </c>
      <c r="K46" s="8">
        <f t="shared" si="0"/>
        <v>8363895.4900000002</v>
      </c>
    </row>
    <row r="47" spans="1:11">
      <c r="A47" s="2">
        <f t="shared" ref="A47:A78" si="2">A35+1</f>
        <v>2013</v>
      </c>
      <c r="B47" s="2" t="s">
        <v>10</v>
      </c>
      <c r="C47" s="7">
        <v>1711363.46</v>
      </c>
      <c r="D47" s="7">
        <v>877340.63</v>
      </c>
      <c r="E47" s="7">
        <v>1189310.6000000001</v>
      </c>
      <c r="F47" s="7">
        <v>4211799.72</v>
      </c>
      <c r="G47" s="7">
        <v>432</v>
      </c>
      <c r="H47" s="7">
        <v>2174.4</v>
      </c>
      <c r="I47" s="7">
        <v>54489</v>
      </c>
      <c r="K47" s="8">
        <f t="shared" si="0"/>
        <v>8046909.8100000005</v>
      </c>
    </row>
    <row r="48" spans="1:11">
      <c r="A48" s="2">
        <f t="shared" si="2"/>
        <v>2013</v>
      </c>
      <c r="B48" s="2" t="s">
        <v>11</v>
      </c>
      <c r="C48" s="7">
        <v>1906029.63</v>
      </c>
      <c r="D48" s="7">
        <v>936984.94</v>
      </c>
      <c r="E48" s="7">
        <v>1283374.56</v>
      </c>
      <c r="F48" s="7">
        <v>4554672.05</v>
      </c>
      <c r="G48" s="7">
        <v>432</v>
      </c>
      <c r="H48" s="7">
        <v>2174.4</v>
      </c>
      <c r="I48" s="7">
        <v>63984</v>
      </c>
      <c r="K48" s="8">
        <f t="shared" si="0"/>
        <v>8747651.5800000001</v>
      </c>
    </row>
    <row r="49" spans="1:11">
      <c r="A49" s="2">
        <f t="shared" si="2"/>
        <v>2013</v>
      </c>
      <c r="B49" s="2" t="s">
        <v>12</v>
      </c>
      <c r="C49" s="7">
        <v>2298147.25</v>
      </c>
      <c r="D49" s="7">
        <v>1026932.94</v>
      </c>
      <c r="E49" s="7">
        <v>1334680.82</v>
      </c>
      <c r="F49" s="7">
        <v>4248239.05</v>
      </c>
      <c r="G49" s="7">
        <v>432</v>
      </c>
      <c r="H49" s="7">
        <v>2174.4</v>
      </c>
      <c r="I49" s="7">
        <v>69351</v>
      </c>
      <c r="K49" s="8">
        <f t="shared" si="0"/>
        <v>8979957.459999999</v>
      </c>
    </row>
    <row r="50" spans="1:11">
      <c r="A50" s="2">
        <f t="shared" si="2"/>
        <v>2013</v>
      </c>
      <c r="B50" s="2" t="s">
        <v>13</v>
      </c>
      <c r="C50" s="7">
        <v>2812691.14</v>
      </c>
      <c r="D50" s="7">
        <v>1173163.8999999999</v>
      </c>
      <c r="E50" s="7">
        <v>1378982.48</v>
      </c>
      <c r="F50" s="7">
        <v>3737255.1</v>
      </c>
      <c r="G50" s="7">
        <v>981</v>
      </c>
      <c r="H50" s="7">
        <v>2174.4</v>
      </c>
      <c r="I50" s="7">
        <v>76781</v>
      </c>
      <c r="K50" s="8">
        <f t="shared" si="0"/>
        <v>9182029.0199999996</v>
      </c>
    </row>
    <row r="51" spans="1:11">
      <c r="A51" s="2">
        <f t="shared" si="2"/>
        <v>2014</v>
      </c>
      <c r="B51" s="2" t="s">
        <v>2</v>
      </c>
      <c r="C51" s="7">
        <v>2984079.71</v>
      </c>
      <c r="D51" s="7">
        <v>1249697.49</v>
      </c>
      <c r="E51" s="7">
        <v>1464594.62</v>
      </c>
      <c r="F51" s="7">
        <v>4355626.67</v>
      </c>
      <c r="G51" s="7">
        <v>432</v>
      </c>
      <c r="H51" s="7">
        <v>2174.4</v>
      </c>
      <c r="I51" s="7">
        <v>78150</v>
      </c>
      <c r="K51" s="8">
        <f t="shared" si="0"/>
        <v>10134754.890000001</v>
      </c>
    </row>
    <row r="52" spans="1:11">
      <c r="A52" s="2">
        <f t="shared" si="2"/>
        <v>2014</v>
      </c>
      <c r="B52" s="2" t="s">
        <v>3</v>
      </c>
      <c r="C52" s="7">
        <v>2536171.9700000002</v>
      </c>
      <c r="D52" s="7">
        <v>1121610.1299999999</v>
      </c>
      <c r="E52" s="7">
        <v>1352801.9</v>
      </c>
      <c r="F52" s="7">
        <v>4052258.84</v>
      </c>
      <c r="G52" s="7">
        <v>432</v>
      </c>
      <c r="H52" s="7">
        <v>2169</v>
      </c>
      <c r="I52" s="7">
        <v>67115</v>
      </c>
      <c r="K52" s="8">
        <f t="shared" si="0"/>
        <v>9132558.8399999999</v>
      </c>
    </row>
    <row r="53" spans="1:11">
      <c r="A53" s="2">
        <f t="shared" si="2"/>
        <v>2014</v>
      </c>
      <c r="B53" s="2" t="s">
        <v>4</v>
      </c>
      <c r="C53" s="7">
        <v>2617394.65</v>
      </c>
      <c r="D53" s="7">
        <v>1177431.2</v>
      </c>
      <c r="E53" s="7">
        <v>1432710.26</v>
      </c>
      <c r="F53" s="7">
        <v>4468820.99</v>
      </c>
      <c r="G53" s="7">
        <v>432</v>
      </c>
      <c r="H53" s="7">
        <v>2118.1</v>
      </c>
      <c r="I53" s="7">
        <v>66621</v>
      </c>
      <c r="K53" s="8">
        <f t="shared" si="0"/>
        <v>9765528.1999999993</v>
      </c>
    </row>
    <row r="54" spans="1:11">
      <c r="A54" s="2">
        <f t="shared" si="2"/>
        <v>2014</v>
      </c>
      <c r="B54" s="2" t="s">
        <v>5</v>
      </c>
      <c r="C54" s="7">
        <v>2065403.19</v>
      </c>
      <c r="D54" s="7">
        <v>953291.31</v>
      </c>
      <c r="E54" s="7">
        <v>1220814.06</v>
      </c>
      <c r="F54" s="7">
        <v>4103332.92</v>
      </c>
      <c r="G54" s="7">
        <v>432</v>
      </c>
      <c r="H54" s="7">
        <v>2105.2800000000002</v>
      </c>
      <c r="I54" s="7">
        <v>55792</v>
      </c>
      <c r="K54" s="8">
        <f t="shared" si="0"/>
        <v>8401170.7600000016</v>
      </c>
    </row>
    <row r="55" spans="1:11">
      <c r="A55" s="2">
        <f t="shared" si="2"/>
        <v>2014</v>
      </c>
      <c r="B55" s="2" t="s">
        <v>6</v>
      </c>
      <c r="C55" s="7">
        <v>1754493.72</v>
      </c>
      <c r="D55" s="7">
        <v>872716.19</v>
      </c>
      <c r="E55" s="7">
        <v>1162703.2</v>
      </c>
      <c r="F55" s="7">
        <v>4836538.9000000004</v>
      </c>
      <c r="G55" s="7">
        <v>432</v>
      </c>
      <c r="H55" s="7">
        <v>2105.2800000000002</v>
      </c>
      <c r="I55" s="7">
        <v>51245</v>
      </c>
      <c r="K55" s="8">
        <f t="shared" si="0"/>
        <v>8680234.290000001</v>
      </c>
    </row>
    <row r="56" spans="1:11">
      <c r="A56" s="2">
        <f t="shared" si="2"/>
        <v>2014</v>
      </c>
      <c r="B56" s="2" t="s">
        <v>7</v>
      </c>
      <c r="C56" s="7">
        <v>1709083.34</v>
      </c>
      <c r="D56" s="7">
        <v>851929.7</v>
      </c>
      <c r="E56" s="7">
        <v>1141902.1200000001</v>
      </c>
      <c r="F56" s="7">
        <v>4282908.76</v>
      </c>
      <c r="G56" s="7">
        <v>432</v>
      </c>
      <c r="H56" s="7">
        <v>2105.2800000000002</v>
      </c>
      <c r="I56" s="7">
        <v>42154</v>
      </c>
      <c r="K56" s="8">
        <f t="shared" si="0"/>
        <v>8030515.2000000002</v>
      </c>
    </row>
    <row r="57" spans="1:11">
      <c r="A57" s="2">
        <f t="shared" si="2"/>
        <v>2014</v>
      </c>
      <c r="B57" s="2" t="s">
        <v>8</v>
      </c>
      <c r="C57" s="7">
        <v>1774152.69</v>
      </c>
      <c r="D57" s="7">
        <v>863822.23</v>
      </c>
      <c r="E57" s="7">
        <v>1112031.3599999999</v>
      </c>
      <c r="F57" s="7">
        <v>4216622.5999999996</v>
      </c>
      <c r="G57" s="7">
        <v>432</v>
      </c>
      <c r="H57" s="7">
        <v>2105.2800000000002</v>
      </c>
      <c r="I57" s="7">
        <v>44840</v>
      </c>
      <c r="K57" s="8">
        <f t="shared" si="0"/>
        <v>8014006.1599999992</v>
      </c>
    </row>
    <row r="58" spans="1:11">
      <c r="A58" s="2">
        <f t="shared" si="2"/>
        <v>2014</v>
      </c>
      <c r="B58" s="2" t="s">
        <v>9</v>
      </c>
      <c r="C58" s="7">
        <v>1775519.41</v>
      </c>
      <c r="D58" s="7">
        <v>848029.81</v>
      </c>
      <c r="E58" s="7">
        <v>1149713.96</v>
      </c>
      <c r="F58" s="7">
        <v>4547556.0999999996</v>
      </c>
      <c r="G58" s="7">
        <v>432</v>
      </c>
      <c r="H58" s="7">
        <v>2105.2800000000002</v>
      </c>
      <c r="I58" s="7">
        <v>49965</v>
      </c>
      <c r="K58" s="8">
        <f t="shared" si="0"/>
        <v>8373321.5599999996</v>
      </c>
    </row>
    <row r="59" spans="1:11">
      <c r="A59" s="2">
        <f t="shared" si="2"/>
        <v>2014</v>
      </c>
      <c r="B59" s="2" t="s">
        <v>10</v>
      </c>
      <c r="C59" s="7">
        <v>1699237.22</v>
      </c>
      <c r="D59" s="7">
        <v>811541.32</v>
      </c>
      <c r="E59" s="7">
        <v>1245419.04</v>
      </c>
      <c r="F59" s="7">
        <v>4521297.8</v>
      </c>
      <c r="G59" s="7">
        <v>432</v>
      </c>
      <c r="H59" s="7">
        <v>2105.2800000000002</v>
      </c>
      <c r="I59" s="7">
        <v>54552</v>
      </c>
      <c r="K59" s="8">
        <f t="shared" si="0"/>
        <v>8334584.6600000001</v>
      </c>
    </row>
    <row r="60" spans="1:11">
      <c r="A60" s="2">
        <f t="shared" si="2"/>
        <v>2014</v>
      </c>
      <c r="B60" s="2" t="s">
        <v>11</v>
      </c>
      <c r="C60" s="7">
        <v>1907571.13</v>
      </c>
      <c r="D60" s="7">
        <v>895079.28</v>
      </c>
      <c r="E60" s="7">
        <v>1306350.8599999999</v>
      </c>
      <c r="F60" s="7">
        <v>4632863.7</v>
      </c>
      <c r="G60" s="7">
        <v>432</v>
      </c>
      <c r="H60" s="7">
        <v>2105.2800000000002</v>
      </c>
      <c r="I60" s="7">
        <v>64058</v>
      </c>
      <c r="K60" s="8">
        <f t="shared" si="0"/>
        <v>8808460.25</v>
      </c>
    </row>
    <row r="61" spans="1:11">
      <c r="A61" s="2">
        <f t="shared" si="2"/>
        <v>2014</v>
      </c>
      <c r="B61" s="2" t="s">
        <v>12</v>
      </c>
      <c r="C61" s="7">
        <v>2305457.63</v>
      </c>
      <c r="D61" s="7">
        <v>1059555.74</v>
      </c>
      <c r="E61" s="7">
        <v>1666109.1600000001</v>
      </c>
      <c r="F61" s="7">
        <v>3677114.8</v>
      </c>
      <c r="G61" s="7">
        <v>432</v>
      </c>
      <c r="H61" s="7">
        <v>2105.2800000000002</v>
      </c>
      <c r="I61" s="7">
        <v>69431</v>
      </c>
      <c r="K61" s="8">
        <f t="shared" si="0"/>
        <v>8780205.6099999994</v>
      </c>
    </row>
    <row r="62" spans="1:11">
      <c r="A62" s="2">
        <f t="shared" si="2"/>
        <v>2014</v>
      </c>
      <c r="B62" s="2" t="s">
        <v>13</v>
      </c>
      <c r="C62" s="7">
        <v>2592079.0099999998</v>
      </c>
      <c r="D62" s="7">
        <v>1148508.1599999999</v>
      </c>
      <c r="E62" s="7">
        <v>1707378.24</v>
      </c>
      <c r="F62" s="7">
        <v>3303461.2</v>
      </c>
      <c r="G62" s="7">
        <v>981</v>
      </c>
      <c r="H62" s="7">
        <v>2105.2800000000002</v>
      </c>
      <c r="I62" s="7">
        <v>76869</v>
      </c>
      <c r="K62" s="8">
        <f t="shared" si="0"/>
        <v>8831381.8899999987</v>
      </c>
    </row>
    <row r="63" spans="1:11">
      <c r="A63" s="2">
        <f t="shared" si="2"/>
        <v>2015</v>
      </c>
      <c r="B63" s="2" t="s">
        <v>2</v>
      </c>
      <c r="C63" s="7">
        <v>2826377.39</v>
      </c>
      <c r="D63" s="7">
        <v>1245529.8899999999</v>
      </c>
      <c r="E63" s="7">
        <v>1894816.6</v>
      </c>
      <c r="F63" s="7">
        <v>3769720.5</v>
      </c>
      <c r="G63" s="7">
        <v>432</v>
      </c>
      <c r="H63" s="7">
        <v>2105.2800000000002</v>
      </c>
      <c r="I63" s="7">
        <v>78150</v>
      </c>
      <c r="K63" s="8">
        <f t="shared" si="0"/>
        <v>9817131.6600000001</v>
      </c>
    </row>
    <row r="64" spans="1:11">
      <c r="A64" s="2">
        <f t="shared" si="2"/>
        <v>2015</v>
      </c>
      <c r="B64" s="2" t="s">
        <v>3</v>
      </c>
      <c r="C64" s="7">
        <v>2702843.02</v>
      </c>
      <c r="D64" s="7">
        <v>1207481.8600000001</v>
      </c>
      <c r="E64" s="7">
        <v>1785268.58</v>
      </c>
      <c r="F64" s="7">
        <v>3602877.6</v>
      </c>
      <c r="G64" s="7">
        <v>432</v>
      </c>
      <c r="H64" s="7">
        <v>2105.2800000000002</v>
      </c>
      <c r="I64" s="7">
        <v>67115</v>
      </c>
      <c r="K64" s="8">
        <f t="shared" si="0"/>
        <v>9368123.3399999999</v>
      </c>
    </row>
    <row r="65" spans="1:11">
      <c r="A65" s="2">
        <f t="shared" si="2"/>
        <v>2015</v>
      </c>
      <c r="B65" s="2" t="s">
        <v>4</v>
      </c>
      <c r="C65" s="7">
        <v>2446547.0699999998</v>
      </c>
      <c r="D65" s="7">
        <v>1196595</v>
      </c>
      <c r="E65" s="7">
        <v>1880889.9</v>
      </c>
      <c r="F65" s="7">
        <v>4092814.8</v>
      </c>
      <c r="G65" s="7">
        <v>432</v>
      </c>
      <c r="H65" s="7">
        <v>2105.2800000000002</v>
      </c>
      <c r="I65" s="7">
        <v>66621</v>
      </c>
      <c r="K65" s="8">
        <f t="shared" si="0"/>
        <v>9686005.0499999989</v>
      </c>
    </row>
    <row r="66" spans="1:11">
      <c r="A66" s="2">
        <f t="shared" si="2"/>
        <v>2015</v>
      </c>
      <c r="B66" s="2" t="s">
        <v>5</v>
      </c>
      <c r="C66" s="7">
        <v>1932154.78</v>
      </c>
      <c r="D66" s="7">
        <v>956081.17</v>
      </c>
      <c r="E66" s="7">
        <v>1588561.1400000001</v>
      </c>
      <c r="F66" s="7">
        <v>3978047.8</v>
      </c>
      <c r="G66" s="7">
        <v>432</v>
      </c>
      <c r="H66" s="7">
        <v>2105.2800000000002</v>
      </c>
      <c r="I66" s="7">
        <v>55792</v>
      </c>
      <c r="K66" s="8">
        <f t="shared" si="0"/>
        <v>8513174.1699999999</v>
      </c>
    </row>
    <row r="67" spans="1:11">
      <c r="A67" s="2">
        <f t="shared" si="2"/>
        <v>2015</v>
      </c>
      <c r="B67" s="2" t="s">
        <v>6</v>
      </c>
      <c r="C67" s="7">
        <v>1690827.24</v>
      </c>
      <c r="D67" s="7">
        <v>887893.76</v>
      </c>
      <c r="E67" s="7">
        <v>1542139.6400000001</v>
      </c>
      <c r="F67" s="7">
        <v>4261658</v>
      </c>
      <c r="G67" s="7">
        <v>432</v>
      </c>
      <c r="H67" s="7">
        <v>2105.2800000000002</v>
      </c>
      <c r="I67" s="7">
        <v>49593</v>
      </c>
      <c r="K67" s="8">
        <f t="shared" si="0"/>
        <v>8434648.9200000018</v>
      </c>
    </row>
    <row r="68" spans="1:11">
      <c r="A68" s="2">
        <f t="shared" si="2"/>
        <v>2015</v>
      </c>
      <c r="B68" s="2" t="s">
        <v>7</v>
      </c>
      <c r="C68" s="7">
        <v>1657832.52</v>
      </c>
      <c r="D68" s="7">
        <v>876096.47</v>
      </c>
      <c r="E68" s="7">
        <v>1533230.46</v>
      </c>
      <c r="F68" s="7">
        <v>4159148.8</v>
      </c>
      <c r="G68" s="7">
        <v>432</v>
      </c>
      <c r="H68" s="7">
        <v>2105.2800000000002</v>
      </c>
      <c r="I68" s="7">
        <v>29755</v>
      </c>
      <c r="K68" s="8">
        <f t="shared" ref="K68:K122" si="3">SUM(C68:I68)</f>
        <v>8258600.5300000003</v>
      </c>
    </row>
    <row r="69" spans="1:11">
      <c r="A69" s="2">
        <f t="shared" si="2"/>
        <v>2015</v>
      </c>
      <c r="B69" s="2" t="s">
        <v>8</v>
      </c>
      <c r="C69" s="7">
        <v>1898330.08</v>
      </c>
      <c r="D69" s="7">
        <v>954386.91</v>
      </c>
      <c r="E69" s="7">
        <v>1549524.6</v>
      </c>
      <c r="F69" s="7">
        <v>4073179.4</v>
      </c>
      <c r="G69" s="7">
        <v>432</v>
      </c>
      <c r="H69" s="7">
        <v>2105.2800000000002</v>
      </c>
      <c r="I69" s="7">
        <v>44840</v>
      </c>
      <c r="K69" s="8">
        <f t="shared" si="3"/>
        <v>8522798.2699999996</v>
      </c>
    </row>
    <row r="70" spans="1:11">
      <c r="A70" s="2">
        <f t="shared" si="2"/>
        <v>2015</v>
      </c>
      <c r="B70" s="2" t="s">
        <v>9</v>
      </c>
      <c r="C70" s="7">
        <v>1814110.51</v>
      </c>
      <c r="D70" s="7">
        <v>896944.77</v>
      </c>
      <c r="E70" s="7">
        <v>1580061.04</v>
      </c>
      <c r="F70" s="7">
        <v>4260228.2</v>
      </c>
      <c r="G70" s="7">
        <v>432</v>
      </c>
      <c r="H70" s="7">
        <v>2105.2800000000002</v>
      </c>
      <c r="I70" s="7">
        <v>64016</v>
      </c>
      <c r="K70" s="8">
        <f t="shared" si="3"/>
        <v>8617897.7999999989</v>
      </c>
    </row>
    <row r="71" spans="1:11">
      <c r="A71" s="2">
        <f t="shared" si="2"/>
        <v>2015</v>
      </c>
      <c r="B71" s="2" t="s">
        <v>10</v>
      </c>
      <c r="C71" s="7">
        <v>1768040.38</v>
      </c>
      <c r="D71" s="7">
        <v>884600.8</v>
      </c>
      <c r="E71" s="7">
        <v>1680610.22</v>
      </c>
      <c r="F71" s="7">
        <v>4232807.8</v>
      </c>
      <c r="G71" s="7">
        <v>432</v>
      </c>
      <c r="H71" s="7">
        <v>2130.48</v>
      </c>
      <c r="I71" s="7">
        <v>54552</v>
      </c>
      <c r="K71" s="8">
        <f t="shared" si="3"/>
        <v>8623173.6799999997</v>
      </c>
    </row>
    <row r="72" spans="1:11">
      <c r="A72" s="2">
        <f t="shared" si="2"/>
        <v>2015</v>
      </c>
      <c r="B72" s="2" t="s">
        <v>11</v>
      </c>
      <c r="C72" s="7">
        <v>1871178.6</v>
      </c>
      <c r="D72" s="7">
        <v>914354.88</v>
      </c>
      <c r="E72" s="7">
        <v>1717559.42</v>
      </c>
      <c r="F72" s="7">
        <v>4085379.2</v>
      </c>
      <c r="G72" s="7">
        <v>432</v>
      </c>
      <c r="H72" s="7">
        <v>1993.97</v>
      </c>
      <c r="I72" s="7">
        <v>64058</v>
      </c>
      <c r="K72" s="8">
        <f t="shared" si="3"/>
        <v>8654956.0700000022</v>
      </c>
    </row>
    <row r="73" spans="1:11">
      <c r="A73" s="2">
        <f t="shared" si="2"/>
        <v>2015</v>
      </c>
      <c r="B73" s="2" t="s">
        <v>12</v>
      </c>
      <c r="C73" s="7">
        <v>2007655.21</v>
      </c>
      <c r="D73" s="7">
        <v>981824.51</v>
      </c>
      <c r="E73" s="7">
        <v>1675664.5</v>
      </c>
      <c r="F73" s="7">
        <v>3746160.4</v>
      </c>
      <c r="G73" s="7">
        <v>432</v>
      </c>
      <c r="H73" s="7">
        <v>1947.6</v>
      </c>
      <c r="I73" s="7">
        <v>69431</v>
      </c>
      <c r="K73" s="8">
        <f t="shared" si="3"/>
        <v>8483115.2199999988</v>
      </c>
    </row>
    <row r="74" spans="1:11">
      <c r="A74" s="2">
        <f t="shared" si="2"/>
        <v>2015</v>
      </c>
      <c r="B74" s="2" t="s">
        <v>13</v>
      </c>
      <c r="C74" s="7">
        <v>2344234.2400000002</v>
      </c>
      <c r="D74" s="7">
        <v>1032165.29</v>
      </c>
      <c r="E74" s="7">
        <v>1653115.34</v>
      </c>
      <c r="F74" s="7">
        <v>3268332.3</v>
      </c>
      <c r="G74" s="7">
        <v>432</v>
      </c>
      <c r="H74" s="7">
        <v>1924.56</v>
      </c>
      <c r="I74" s="7">
        <v>76869</v>
      </c>
      <c r="K74" s="8">
        <f t="shared" si="3"/>
        <v>8377072.7299999995</v>
      </c>
    </row>
    <row r="75" spans="1:11">
      <c r="A75" s="2">
        <f t="shared" si="2"/>
        <v>2016</v>
      </c>
      <c r="B75" s="2" t="s">
        <v>2</v>
      </c>
      <c r="C75" s="7">
        <v>2576676.14</v>
      </c>
      <c r="D75" s="7">
        <v>1159143.32</v>
      </c>
      <c r="E75" s="7">
        <v>1809340.8199999998</v>
      </c>
      <c r="F75" s="7">
        <v>3679533.7</v>
      </c>
      <c r="G75" s="7">
        <v>981</v>
      </c>
      <c r="H75" s="7">
        <v>1878.48</v>
      </c>
      <c r="I75" s="7">
        <v>78150</v>
      </c>
      <c r="K75" s="8">
        <f t="shared" si="3"/>
        <v>9305703.4600000009</v>
      </c>
    </row>
    <row r="76" spans="1:11">
      <c r="A76" s="2">
        <f t="shared" si="2"/>
        <v>2016</v>
      </c>
      <c r="B76" s="2" t="s">
        <v>3</v>
      </c>
      <c r="C76" s="7">
        <v>2326043.46</v>
      </c>
      <c r="D76" s="7">
        <v>1083517.99</v>
      </c>
      <c r="E76" s="7">
        <v>1680842.46</v>
      </c>
      <c r="F76" s="7">
        <v>3627322.4</v>
      </c>
      <c r="G76" s="7">
        <v>432</v>
      </c>
      <c r="H76" s="7">
        <v>1878.48</v>
      </c>
      <c r="I76" s="7">
        <v>69512</v>
      </c>
      <c r="K76" s="8">
        <f t="shared" si="3"/>
        <v>8789548.790000001</v>
      </c>
    </row>
    <row r="77" spans="1:11">
      <c r="A77" s="2">
        <f t="shared" si="2"/>
        <v>2016</v>
      </c>
      <c r="B77" s="2" t="s">
        <v>4</v>
      </c>
      <c r="C77" s="7">
        <v>2173759.4500000002</v>
      </c>
      <c r="D77" s="7">
        <v>1065430.6200000001</v>
      </c>
      <c r="E77" s="7">
        <v>1762497.98</v>
      </c>
      <c r="F77" s="7">
        <v>3786008.6</v>
      </c>
      <c r="G77" s="7">
        <v>432</v>
      </c>
      <c r="H77" s="7">
        <v>1878.48</v>
      </c>
      <c r="I77" s="7">
        <v>66621</v>
      </c>
      <c r="K77" s="8">
        <f t="shared" si="3"/>
        <v>8856628.1300000008</v>
      </c>
    </row>
    <row r="78" spans="1:11">
      <c r="A78" s="2">
        <f t="shared" si="2"/>
        <v>2016</v>
      </c>
      <c r="B78" s="2" t="s">
        <v>5</v>
      </c>
      <c r="C78" s="7">
        <v>1946654.32</v>
      </c>
      <c r="D78" s="7">
        <v>968639.82</v>
      </c>
      <c r="E78" s="7">
        <v>1623381.2</v>
      </c>
      <c r="F78" s="7">
        <v>3712612.5</v>
      </c>
      <c r="G78" s="7">
        <v>432</v>
      </c>
      <c r="H78" s="7">
        <v>1886.16</v>
      </c>
      <c r="I78" s="7">
        <v>55792</v>
      </c>
      <c r="K78" s="8">
        <f t="shared" si="3"/>
        <v>8309398</v>
      </c>
    </row>
    <row r="79" spans="1:11">
      <c r="A79" s="2">
        <f t="shared" ref="A79:A110" si="4">A67+1</f>
        <v>2016</v>
      </c>
      <c r="B79" s="2" t="s">
        <v>6</v>
      </c>
      <c r="C79" s="7">
        <v>1722872.64</v>
      </c>
      <c r="D79" s="7">
        <v>882630.28</v>
      </c>
      <c r="E79" s="7">
        <v>1575745.48</v>
      </c>
      <c r="F79" s="7">
        <v>3476470</v>
      </c>
      <c r="G79" s="7">
        <v>432</v>
      </c>
      <c r="H79" s="7">
        <v>1878.48</v>
      </c>
      <c r="I79" s="7">
        <v>51245</v>
      </c>
      <c r="K79" s="8">
        <f t="shared" si="3"/>
        <v>7711273.8800000008</v>
      </c>
    </row>
    <row r="80" spans="1:11">
      <c r="A80" s="2">
        <f t="shared" si="4"/>
        <v>2016</v>
      </c>
      <c r="B80" s="2" t="s">
        <v>7</v>
      </c>
      <c r="C80" s="7">
        <v>1702931</v>
      </c>
      <c r="D80" s="7">
        <v>863855.42</v>
      </c>
      <c r="E80" s="7">
        <v>1529371.1600000001</v>
      </c>
      <c r="F80" s="7">
        <v>3923887.2</v>
      </c>
      <c r="G80" s="7">
        <v>432</v>
      </c>
      <c r="H80" s="7">
        <v>1878.48</v>
      </c>
      <c r="I80" s="7">
        <v>42154</v>
      </c>
      <c r="K80" s="8">
        <f t="shared" si="3"/>
        <v>8064509.2600000007</v>
      </c>
    </row>
    <row r="81" spans="1:11">
      <c r="A81" s="2">
        <f t="shared" si="4"/>
        <v>2016</v>
      </c>
      <c r="B81" s="2" t="s">
        <v>8</v>
      </c>
      <c r="C81" s="7">
        <v>2015583.99</v>
      </c>
      <c r="D81" s="7">
        <v>874036.95</v>
      </c>
      <c r="E81" s="7">
        <v>1532538.1</v>
      </c>
      <c r="F81" s="7">
        <v>3614720</v>
      </c>
      <c r="G81" s="7">
        <v>521</v>
      </c>
      <c r="H81" s="7">
        <v>1878.48</v>
      </c>
      <c r="I81" s="7">
        <v>44870</v>
      </c>
      <c r="K81" s="8">
        <f t="shared" si="3"/>
        <v>8084148.5200000005</v>
      </c>
    </row>
    <row r="82" spans="1:11">
      <c r="A82" s="2">
        <f t="shared" si="4"/>
        <v>2016</v>
      </c>
      <c r="B82" s="2" t="s">
        <v>9</v>
      </c>
      <c r="C82" s="7">
        <v>2100077.15</v>
      </c>
      <c r="D82" s="7">
        <v>967347.19999999995</v>
      </c>
      <c r="E82" s="7">
        <v>1676709.58</v>
      </c>
      <c r="F82" s="7">
        <v>4262722.5</v>
      </c>
      <c r="G82" s="7">
        <v>521</v>
      </c>
      <c r="H82" s="7">
        <v>1878.48</v>
      </c>
      <c r="I82" s="7">
        <v>49998</v>
      </c>
      <c r="K82" s="8">
        <f t="shared" si="3"/>
        <v>9059253.9100000001</v>
      </c>
    </row>
    <row r="83" spans="1:11">
      <c r="A83" s="2">
        <f t="shared" si="4"/>
        <v>2016</v>
      </c>
      <c r="B83" s="2" t="s">
        <v>10</v>
      </c>
      <c r="C83" s="7">
        <v>1695380.52</v>
      </c>
      <c r="D83" s="7">
        <v>959228.46</v>
      </c>
      <c r="E83" s="7">
        <v>1688373.44</v>
      </c>
      <c r="F83" s="7">
        <v>4076742.3</v>
      </c>
      <c r="G83" s="7">
        <v>521</v>
      </c>
      <c r="H83" s="7">
        <v>1878.48</v>
      </c>
      <c r="I83" s="7">
        <v>54588</v>
      </c>
      <c r="K83" s="8">
        <f t="shared" si="3"/>
        <v>8476712.1999999993</v>
      </c>
    </row>
    <row r="84" spans="1:11">
      <c r="A84" s="2">
        <f t="shared" si="4"/>
        <v>2016</v>
      </c>
      <c r="B84" s="2" t="s">
        <v>11</v>
      </c>
      <c r="C84" s="7">
        <v>1789077.29</v>
      </c>
      <c r="D84" s="7">
        <v>1048780.6000000001</v>
      </c>
      <c r="E84" s="7">
        <v>1682267.1400000001</v>
      </c>
      <c r="F84" s="7">
        <v>3988247.8</v>
      </c>
      <c r="G84" s="7">
        <v>521</v>
      </c>
      <c r="H84" s="7">
        <v>1855.44</v>
      </c>
      <c r="I84" s="7">
        <v>64099</v>
      </c>
      <c r="K84" s="8">
        <f t="shared" si="3"/>
        <v>8574848.2699999996</v>
      </c>
    </row>
    <row r="85" spans="1:11">
      <c r="A85" s="2">
        <f t="shared" si="4"/>
        <v>2016</v>
      </c>
      <c r="B85" s="2" t="s">
        <v>12</v>
      </c>
      <c r="C85" s="7">
        <v>1948321.66</v>
      </c>
      <c r="D85" s="7">
        <v>951878.91</v>
      </c>
      <c r="E85" s="7">
        <v>1658301.6800000002</v>
      </c>
      <c r="F85" s="7">
        <v>3910852.4</v>
      </c>
      <c r="G85" s="7">
        <v>521</v>
      </c>
      <c r="H85" s="7">
        <v>1648.08</v>
      </c>
      <c r="I85" s="7">
        <v>69477</v>
      </c>
      <c r="K85" s="8">
        <f t="shared" si="3"/>
        <v>8541000.7300000004</v>
      </c>
    </row>
    <row r="86" spans="1:11">
      <c r="A86" s="2">
        <f t="shared" si="4"/>
        <v>2016</v>
      </c>
      <c r="B86" s="2" t="s">
        <v>13</v>
      </c>
      <c r="C86" s="7">
        <v>2526198.19</v>
      </c>
      <c r="D86" s="7">
        <v>1143115.96</v>
      </c>
      <c r="E86" s="7">
        <v>1674374.3599999999</v>
      </c>
      <c r="F86" s="7">
        <v>3437396.7</v>
      </c>
      <c r="G86" s="7">
        <v>1070</v>
      </c>
      <c r="H86" s="7">
        <v>1639.44</v>
      </c>
      <c r="I86" s="7">
        <v>76921</v>
      </c>
      <c r="K86" s="8">
        <f t="shared" si="3"/>
        <v>8860715.6500000004</v>
      </c>
    </row>
    <row r="87" spans="1:11">
      <c r="A87" s="2">
        <f t="shared" si="4"/>
        <v>2017</v>
      </c>
      <c r="B87" s="2" t="s">
        <v>2</v>
      </c>
      <c r="C87" s="7">
        <v>2417644.2200000002</v>
      </c>
      <c r="D87" s="7">
        <v>1141096.69</v>
      </c>
      <c r="E87" s="7">
        <v>1735977.26</v>
      </c>
      <c r="F87" s="7">
        <v>3975000.1</v>
      </c>
      <c r="G87" s="7">
        <v>521</v>
      </c>
      <c r="H87" s="7">
        <v>1639.44</v>
      </c>
      <c r="I87" s="7">
        <v>76009</v>
      </c>
      <c r="K87" s="8">
        <f t="shared" si="3"/>
        <v>9347887.709999999</v>
      </c>
    </row>
    <row r="88" spans="1:11">
      <c r="A88" s="2">
        <f t="shared" si="4"/>
        <v>2017</v>
      </c>
      <c r="B88" s="2" t="s">
        <v>3</v>
      </c>
      <c r="C88" s="7">
        <v>2060503.98</v>
      </c>
      <c r="D88" s="7">
        <v>1001554.43</v>
      </c>
      <c r="E88" s="7">
        <v>1585078.62</v>
      </c>
      <c r="F88" s="7">
        <v>3580095.8</v>
      </c>
      <c r="G88" s="7">
        <v>521</v>
      </c>
      <c r="H88" s="7">
        <v>1639.44</v>
      </c>
      <c r="I88" s="7">
        <v>65278</v>
      </c>
      <c r="K88" s="8">
        <f t="shared" si="3"/>
        <v>8294671.2700000005</v>
      </c>
    </row>
    <row r="89" spans="1:11">
      <c r="A89" s="2">
        <f t="shared" si="4"/>
        <v>2017</v>
      </c>
      <c r="B89" s="2" t="s">
        <v>4</v>
      </c>
      <c r="C89" s="7">
        <v>2246823.84</v>
      </c>
      <c r="D89" s="7">
        <v>1096166.8899999999</v>
      </c>
      <c r="E89" s="7">
        <v>1771588.28</v>
      </c>
      <c r="F89" s="7">
        <v>3981269.8</v>
      </c>
      <c r="G89" s="7">
        <v>521</v>
      </c>
      <c r="H89" s="7">
        <v>1639.44</v>
      </c>
      <c r="I89" s="7">
        <v>64795</v>
      </c>
      <c r="K89" s="8">
        <f t="shared" si="3"/>
        <v>9162804.2499999981</v>
      </c>
    </row>
    <row r="90" spans="1:11">
      <c r="A90" s="2">
        <f t="shared" si="4"/>
        <v>2017</v>
      </c>
      <c r="B90" s="2" t="s">
        <v>5</v>
      </c>
      <c r="C90" s="7">
        <v>1789943.57</v>
      </c>
      <c r="D90" s="7">
        <v>875786.8</v>
      </c>
      <c r="E90" s="7">
        <v>1449763.1800000002</v>
      </c>
      <c r="F90" s="7">
        <v>3705174.7</v>
      </c>
      <c r="G90" s="7">
        <v>521</v>
      </c>
      <c r="H90" s="7">
        <v>1639.44</v>
      </c>
      <c r="I90" s="7">
        <v>54263</v>
      </c>
      <c r="K90" s="8">
        <f t="shared" si="3"/>
        <v>7877091.6900000004</v>
      </c>
    </row>
    <row r="91" spans="1:11">
      <c r="A91" s="2">
        <f t="shared" si="4"/>
        <v>2017</v>
      </c>
      <c r="B91" s="2" t="s">
        <v>6</v>
      </c>
      <c r="C91" s="7">
        <v>1700609.85</v>
      </c>
      <c r="D91" s="7">
        <v>866274.25</v>
      </c>
      <c r="E91" s="7">
        <v>1508756.8</v>
      </c>
      <c r="F91" s="7">
        <v>3919073</v>
      </c>
      <c r="G91" s="7">
        <v>521</v>
      </c>
      <c r="H91" s="7">
        <v>1639.44</v>
      </c>
      <c r="I91" s="7">
        <v>49842</v>
      </c>
      <c r="K91" s="8">
        <f t="shared" si="3"/>
        <v>8046716.3400000008</v>
      </c>
    </row>
    <row r="92" spans="1:11">
      <c r="A92" s="2">
        <f t="shared" si="4"/>
        <v>2017</v>
      </c>
      <c r="B92" s="2" t="s">
        <v>7</v>
      </c>
      <c r="C92" s="7">
        <v>1710437.86</v>
      </c>
      <c r="D92" s="7">
        <v>852255.5</v>
      </c>
      <c r="E92" s="7">
        <v>1501694.78</v>
      </c>
      <c r="F92" s="7">
        <v>3934211.5</v>
      </c>
      <c r="G92" s="7">
        <v>521</v>
      </c>
      <c r="H92" s="7">
        <v>1639.44</v>
      </c>
      <c r="I92" s="7">
        <v>41000</v>
      </c>
      <c r="K92" s="8">
        <f t="shared" si="3"/>
        <v>8041760.080000001</v>
      </c>
    </row>
    <row r="93" spans="1:11">
      <c r="A93" s="2">
        <f t="shared" si="4"/>
        <v>2017</v>
      </c>
      <c r="B93" s="2" t="s">
        <v>8</v>
      </c>
      <c r="C93" s="7">
        <v>1896111.31</v>
      </c>
      <c r="D93" s="7">
        <v>887637.45</v>
      </c>
      <c r="E93" s="7">
        <v>1431848.02</v>
      </c>
      <c r="F93" s="7">
        <v>3614802.5</v>
      </c>
      <c r="G93" s="7">
        <v>521</v>
      </c>
      <c r="H93" s="7">
        <v>1639.44</v>
      </c>
      <c r="I93" s="7">
        <v>43611</v>
      </c>
      <c r="K93" s="8">
        <f t="shared" si="3"/>
        <v>7876170.7199999997</v>
      </c>
    </row>
    <row r="94" spans="1:11">
      <c r="A94" s="2">
        <f t="shared" si="4"/>
        <v>2017</v>
      </c>
      <c r="B94" s="2" t="s">
        <v>9</v>
      </c>
      <c r="C94" s="7">
        <v>1804709.14</v>
      </c>
      <c r="D94" s="7">
        <v>870397.24</v>
      </c>
      <c r="E94" s="7">
        <v>1553208.22</v>
      </c>
      <c r="F94" s="7">
        <v>4207880</v>
      </c>
      <c r="G94" s="7">
        <v>521</v>
      </c>
      <c r="H94" s="7">
        <v>1639.44</v>
      </c>
      <c r="I94" s="7">
        <v>48596</v>
      </c>
      <c r="K94" s="8">
        <f t="shared" si="3"/>
        <v>8486951.0399999991</v>
      </c>
    </row>
    <row r="95" spans="1:11">
      <c r="A95" s="2">
        <f t="shared" si="4"/>
        <v>2017</v>
      </c>
      <c r="B95" s="2" t="s">
        <v>10</v>
      </c>
      <c r="C95" s="7">
        <v>1734537.23</v>
      </c>
      <c r="D95" s="7">
        <v>833896.71</v>
      </c>
      <c r="E95" s="7">
        <v>1590622.22</v>
      </c>
      <c r="F95" s="7">
        <v>3821230.7</v>
      </c>
      <c r="G95" s="7">
        <v>521</v>
      </c>
      <c r="H95" s="7">
        <v>1639.44</v>
      </c>
      <c r="I95" s="7">
        <v>52298.7</v>
      </c>
      <c r="K95" s="8">
        <f t="shared" si="3"/>
        <v>8034746.0000000009</v>
      </c>
    </row>
    <row r="96" spans="1:11">
      <c r="A96" s="2">
        <f t="shared" si="4"/>
        <v>2017</v>
      </c>
      <c r="B96" s="2" t="s">
        <v>11</v>
      </c>
      <c r="C96" s="7">
        <v>1774039.58</v>
      </c>
      <c r="D96" s="7">
        <v>853039.79</v>
      </c>
      <c r="E96" s="7">
        <v>1591093.02</v>
      </c>
      <c r="F96" s="7">
        <v>4048113</v>
      </c>
      <c r="G96" s="7">
        <v>521</v>
      </c>
      <c r="H96" s="7">
        <v>1639.44</v>
      </c>
      <c r="I96" s="7">
        <v>61411</v>
      </c>
      <c r="K96" s="8">
        <f t="shared" si="3"/>
        <v>8329856.830000001</v>
      </c>
    </row>
    <row r="97" spans="1:11">
      <c r="A97" s="2">
        <f t="shared" si="4"/>
        <v>2017</v>
      </c>
      <c r="B97" s="2" t="s">
        <v>12</v>
      </c>
      <c r="C97" s="7">
        <v>2118838.5</v>
      </c>
      <c r="D97" s="7">
        <v>1004648.11</v>
      </c>
      <c r="E97" s="7">
        <v>1610759.29</v>
      </c>
      <c r="F97" s="7">
        <v>3898423.2</v>
      </c>
      <c r="G97" s="7">
        <v>521</v>
      </c>
      <c r="H97" s="7">
        <v>1639.44</v>
      </c>
      <c r="I97" s="7">
        <v>66561.600000000006</v>
      </c>
      <c r="K97" s="8">
        <f t="shared" si="3"/>
        <v>8701391.1400000006</v>
      </c>
    </row>
    <row r="98" spans="1:11">
      <c r="A98" s="2">
        <f t="shared" si="4"/>
        <v>2017</v>
      </c>
      <c r="B98" s="2" t="s">
        <v>13</v>
      </c>
      <c r="C98" s="7">
        <v>2608911.17</v>
      </c>
      <c r="D98" s="7">
        <v>1127637.23</v>
      </c>
      <c r="E98" s="7">
        <v>1699223.3199999998</v>
      </c>
      <c r="F98" s="7">
        <v>3065252.9</v>
      </c>
      <c r="G98" s="7">
        <v>1070</v>
      </c>
      <c r="H98" s="7">
        <v>1639.44</v>
      </c>
      <c r="I98" s="7">
        <v>73693.820000000007</v>
      </c>
      <c r="K98" s="8">
        <f t="shared" si="3"/>
        <v>8577427.879999999</v>
      </c>
    </row>
    <row r="99" spans="1:11">
      <c r="A99" s="2">
        <f t="shared" si="4"/>
        <v>2018</v>
      </c>
      <c r="B99" s="2" t="s">
        <v>2</v>
      </c>
      <c r="C99" s="7">
        <v>2662950.4</v>
      </c>
      <c r="D99" s="7">
        <v>1203031.96</v>
      </c>
      <c r="E99" s="7">
        <v>1597631.95</v>
      </c>
      <c r="F99" s="7">
        <v>3853208.8</v>
      </c>
      <c r="G99" s="7">
        <v>521</v>
      </c>
      <c r="H99" s="7">
        <v>1639.44</v>
      </c>
      <c r="I99" s="7">
        <v>74921.42</v>
      </c>
      <c r="K99" s="8">
        <f t="shared" si="3"/>
        <v>9393904.9699999988</v>
      </c>
    </row>
    <row r="100" spans="1:11">
      <c r="A100" s="2">
        <f t="shared" si="4"/>
        <v>2018</v>
      </c>
      <c r="B100" s="2" t="s">
        <v>3</v>
      </c>
      <c r="C100" s="7">
        <v>2192784.9700000002</v>
      </c>
      <c r="D100" s="7">
        <v>1010129.81</v>
      </c>
      <c r="E100" s="7">
        <v>1529396.03</v>
      </c>
      <c r="F100" s="7">
        <v>3480850.4</v>
      </c>
      <c r="G100" s="7">
        <v>521</v>
      </c>
      <c r="H100" s="7">
        <v>1639.44</v>
      </c>
      <c r="I100" s="7">
        <v>64343.44</v>
      </c>
      <c r="K100" s="8">
        <f t="shared" si="3"/>
        <v>8279665.0900000017</v>
      </c>
    </row>
    <row r="101" spans="1:11">
      <c r="A101" s="2">
        <f t="shared" si="4"/>
        <v>2018</v>
      </c>
      <c r="B101" s="2" t="s">
        <v>4</v>
      </c>
      <c r="C101" s="7">
        <v>2246218.02</v>
      </c>
      <c r="D101" s="7">
        <v>1057382.94</v>
      </c>
      <c r="E101" s="7">
        <v>1587004.48</v>
      </c>
      <c r="F101" s="7">
        <v>3785927.1</v>
      </c>
      <c r="G101" s="7">
        <v>521</v>
      </c>
      <c r="H101" s="7">
        <v>1639.44</v>
      </c>
      <c r="I101" s="7">
        <v>63867.44</v>
      </c>
      <c r="K101" s="8">
        <f t="shared" si="3"/>
        <v>8742560.4199999981</v>
      </c>
    </row>
    <row r="102" spans="1:11">
      <c r="A102" s="2">
        <f t="shared" si="4"/>
        <v>2018</v>
      </c>
      <c r="B102" s="2" t="s">
        <v>5</v>
      </c>
      <c r="C102" s="7">
        <v>2068259.79</v>
      </c>
      <c r="D102" s="7">
        <v>970762.26</v>
      </c>
      <c r="E102" s="7">
        <v>1474276.92</v>
      </c>
      <c r="F102" s="7">
        <v>3576531.7</v>
      </c>
      <c r="G102" s="7">
        <v>521</v>
      </c>
      <c r="H102" s="7">
        <v>1639.44</v>
      </c>
      <c r="I102" s="7">
        <v>53487</v>
      </c>
      <c r="K102" s="8">
        <f t="shared" si="3"/>
        <v>8145478.1100000003</v>
      </c>
    </row>
    <row r="103" spans="1:11">
      <c r="A103" s="2">
        <f t="shared" si="4"/>
        <v>2018</v>
      </c>
      <c r="B103" s="2" t="s">
        <v>6</v>
      </c>
      <c r="C103" s="7">
        <v>1713357.57</v>
      </c>
      <c r="D103" s="7">
        <v>868998.48</v>
      </c>
      <c r="E103" s="7">
        <v>1448011.69</v>
      </c>
      <c r="F103" s="7">
        <v>3944814.1</v>
      </c>
      <c r="G103" s="7">
        <v>521</v>
      </c>
      <c r="H103" s="7">
        <v>1639.44</v>
      </c>
      <c r="I103" s="7">
        <v>49129.11</v>
      </c>
      <c r="K103" s="8">
        <f t="shared" si="3"/>
        <v>8026471.3900000006</v>
      </c>
    </row>
    <row r="104" spans="1:11">
      <c r="A104" s="2">
        <f t="shared" si="4"/>
        <v>2018</v>
      </c>
      <c r="B104" s="2" t="s">
        <v>7</v>
      </c>
      <c r="C104" s="7">
        <v>1766241.25</v>
      </c>
      <c r="D104" s="7">
        <v>859700.83</v>
      </c>
      <c r="E104" s="7">
        <v>1421655.96</v>
      </c>
      <c r="F104" s="7">
        <v>3760515.6</v>
      </c>
      <c r="G104" s="7">
        <v>521</v>
      </c>
      <c r="H104" s="7">
        <v>1639.44</v>
      </c>
      <c r="I104" s="7">
        <v>40413</v>
      </c>
      <c r="K104" s="8">
        <f t="shared" si="3"/>
        <v>7850687.080000001</v>
      </c>
    </row>
    <row r="105" spans="1:11">
      <c r="A105" s="2">
        <f t="shared" si="4"/>
        <v>2018</v>
      </c>
      <c r="B105" s="2" t="s">
        <v>8</v>
      </c>
      <c r="C105" s="7">
        <v>2132794.73</v>
      </c>
      <c r="D105" s="7">
        <v>947003.22</v>
      </c>
      <c r="E105" s="7">
        <v>1423712.52</v>
      </c>
      <c r="F105" s="7">
        <v>3579181.2</v>
      </c>
      <c r="G105" s="7">
        <v>521</v>
      </c>
      <c r="H105" s="7">
        <v>1639.44</v>
      </c>
      <c r="I105" s="7">
        <v>42988.01</v>
      </c>
      <c r="K105" s="8">
        <f t="shared" si="3"/>
        <v>8127840.120000001</v>
      </c>
    </row>
    <row r="106" spans="1:11">
      <c r="A106" s="2">
        <f t="shared" si="4"/>
        <v>2018</v>
      </c>
      <c r="B106" s="2" t="s">
        <v>9</v>
      </c>
      <c r="C106" s="7">
        <v>2102658.19</v>
      </c>
      <c r="D106" s="7">
        <v>931194.52</v>
      </c>
      <c r="E106" s="7">
        <v>1548175.81</v>
      </c>
      <c r="F106" s="7">
        <v>3995351.8</v>
      </c>
      <c r="G106" s="7">
        <v>521</v>
      </c>
      <c r="H106" s="7">
        <v>1639.44</v>
      </c>
      <c r="I106" s="7">
        <v>47900.89</v>
      </c>
      <c r="K106" s="8">
        <f t="shared" si="3"/>
        <v>8627441.6500000004</v>
      </c>
    </row>
    <row r="107" spans="1:11">
      <c r="A107" s="2">
        <f t="shared" si="4"/>
        <v>2018</v>
      </c>
      <c r="B107" s="2" t="s">
        <v>10</v>
      </c>
      <c r="C107" s="7">
        <v>1855017.39</v>
      </c>
      <c r="D107" s="7">
        <v>824467.6</v>
      </c>
      <c r="E107" s="7">
        <v>1504573.92</v>
      </c>
      <c r="F107" s="7">
        <v>3575441.2</v>
      </c>
      <c r="G107" s="7">
        <v>521</v>
      </c>
      <c r="H107" s="7">
        <v>1639.44</v>
      </c>
      <c r="I107" s="7">
        <v>52298.7</v>
      </c>
      <c r="K107" s="8">
        <f t="shared" si="3"/>
        <v>7813959.25</v>
      </c>
    </row>
    <row r="108" spans="1:11">
      <c r="A108" s="2">
        <f t="shared" si="4"/>
        <v>2018</v>
      </c>
      <c r="B108" s="2" t="s">
        <v>11</v>
      </c>
      <c r="C108" s="7">
        <v>1937514.2</v>
      </c>
      <c r="D108" s="7">
        <v>890135.48</v>
      </c>
      <c r="E108" s="7">
        <v>1589319.77</v>
      </c>
      <c r="F108" s="7">
        <v>3831664.8</v>
      </c>
      <c r="G108" s="7">
        <v>521</v>
      </c>
      <c r="H108" s="7">
        <v>1639.44</v>
      </c>
      <c r="I108" s="7">
        <v>61411</v>
      </c>
      <c r="K108" s="8">
        <f t="shared" si="3"/>
        <v>8312205.6899999995</v>
      </c>
    </row>
    <row r="109" spans="1:11">
      <c r="A109" s="2">
        <f t="shared" si="4"/>
        <v>2018</v>
      </c>
      <c r="B109" s="2" t="s">
        <v>12</v>
      </c>
      <c r="C109" s="7">
        <v>2205153</v>
      </c>
      <c r="D109" s="7">
        <v>984437.49</v>
      </c>
      <c r="E109" s="7">
        <v>1594026.78</v>
      </c>
      <c r="F109" s="7">
        <v>3572886.4</v>
      </c>
      <c r="G109" s="7">
        <v>521</v>
      </c>
      <c r="H109" s="7">
        <v>1639.44</v>
      </c>
      <c r="I109" s="7">
        <v>66561.600000000006</v>
      </c>
      <c r="K109" s="8">
        <f t="shared" si="3"/>
        <v>8425225.7100000009</v>
      </c>
    </row>
    <row r="110" spans="1:11">
      <c r="A110" s="2">
        <f t="shared" si="4"/>
        <v>2018</v>
      </c>
      <c r="B110" s="2" t="s">
        <v>13</v>
      </c>
      <c r="C110" s="7">
        <v>2462955.4700000002</v>
      </c>
      <c r="D110" s="7">
        <v>1034895.54</v>
      </c>
      <c r="E110" s="7">
        <v>1587642.7</v>
      </c>
      <c r="F110" s="7">
        <v>2957582.6</v>
      </c>
      <c r="G110" s="7">
        <v>1070</v>
      </c>
      <c r="H110" s="7">
        <v>1639.44</v>
      </c>
      <c r="I110" s="7">
        <v>73693.820000000007</v>
      </c>
      <c r="K110" s="8">
        <f t="shared" si="3"/>
        <v>8119479.5700000012</v>
      </c>
    </row>
    <row r="111" spans="1:11">
      <c r="A111" s="2">
        <v>2019</v>
      </c>
      <c r="B111" s="2" t="s">
        <v>2</v>
      </c>
      <c r="C111" s="7">
        <v>2673919.9</v>
      </c>
      <c r="D111" s="7">
        <v>1155650.8600000001</v>
      </c>
      <c r="E111" s="7">
        <v>1723043.04</v>
      </c>
      <c r="F111" s="147">
        <v>3713836.2</v>
      </c>
      <c r="G111" s="7">
        <v>557</v>
      </c>
      <c r="H111" s="7">
        <v>1639.44</v>
      </c>
      <c r="I111" s="7">
        <v>74921.42</v>
      </c>
      <c r="K111" s="8">
        <f t="shared" si="3"/>
        <v>9343567.8599999994</v>
      </c>
    </row>
    <row r="112" spans="1:11">
      <c r="A112" s="2">
        <v>2019</v>
      </c>
      <c r="B112" s="2" t="s">
        <v>3</v>
      </c>
      <c r="C112" s="7">
        <v>2337395.4700000002</v>
      </c>
      <c r="D112" s="7">
        <v>1005686.87</v>
      </c>
      <c r="E112" s="7">
        <v>1537107.64</v>
      </c>
      <c r="F112" s="147">
        <v>3328094</v>
      </c>
      <c r="G112" s="7">
        <v>521</v>
      </c>
      <c r="H112" s="7">
        <v>1639.44</v>
      </c>
      <c r="I112" s="7">
        <v>64343.44</v>
      </c>
      <c r="K112" s="8">
        <f t="shared" si="3"/>
        <v>8274787.8600000013</v>
      </c>
    </row>
    <row r="113" spans="1:11">
      <c r="A113" s="2">
        <v>2019</v>
      </c>
      <c r="B113" s="2" t="s">
        <v>4</v>
      </c>
      <c r="C113" s="7">
        <v>2357257.4700000002</v>
      </c>
      <c r="D113" s="7">
        <v>1043420.45</v>
      </c>
      <c r="E113" s="7">
        <v>1649559.34</v>
      </c>
      <c r="F113" s="147">
        <v>3702189.5</v>
      </c>
      <c r="G113" s="7">
        <v>521</v>
      </c>
      <c r="H113" s="7">
        <v>1639.44</v>
      </c>
      <c r="I113" s="7">
        <v>63867.44</v>
      </c>
      <c r="K113" s="8">
        <f t="shared" si="3"/>
        <v>8818454.6399999987</v>
      </c>
    </row>
    <row r="114" spans="1:11">
      <c r="A114" s="2">
        <v>2019</v>
      </c>
      <c r="B114" s="2" t="s">
        <v>5</v>
      </c>
      <c r="C114" s="7">
        <v>1999491.75</v>
      </c>
      <c r="D114" s="7">
        <v>888303.19</v>
      </c>
      <c r="E114" s="7">
        <v>1466667.89</v>
      </c>
      <c r="F114" s="147">
        <v>3599075.3</v>
      </c>
      <c r="G114" s="7">
        <v>521</v>
      </c>
      <c r="H114" s="7">
        <v>1639.44</v>
      </c>
      <c r="I114" s="7">
        <v>53487</v>
      </c>
      <c r="K114" s="8">
        <f t="shared" si="3"/>
        <v>8009185.5700000003</v>
      </c>
    </row>
    <row r="115" spans="1:11">
      <c r="A115" s="2">
        <v>2019</v>
      </c>
      <c r="B115" s="2" t="s">
        <v>6</v>
      </c>
      <c r="C115" s="7">
        <v>1755648.12</v>
      </c>
      <c r="D115" s="7">
        <v>832855.29</v>
      </c>
      <c r="E115" s="7">
        <v>1465387.02</v>
      </c>
      <c r="F115" s="147">
        <v>3737964.4</v>
      </c>
      <c r="G115" s="7">
        <v>521</v>
      </c>
      <c r="H115" s="7">
        <v>1639.44</v>
      </c>
      <c r="I115" s="7">
        <v>49129.11</v>
      </c>
      <c r="K115" s="8">
        <f t="shared" si="3"/>
        <v>7843144.3800000008</v>
      </c>
    </row>
    <row r="116" spans="1:11">
      <c r="A116" s="2">
        <v>2019</v>
      </c>
      <c r="B116" s="2" t="s">
        <v>7</v>
      </c>
      <c r="C116" s="7">
        <v>1676218.61</v>
      </c>
      <c r="D116" s="7">
        <v>801995.98</v>
      </c>
      <c r="E116" s="7">
        <v>1436173.52</v>
      </c>
      <c r="F116" s="147">
        <v>3496913.5</v>
      </c>
      <c r="G116" s="7">
        <v>521</v>
      </c>
      <c r="H116" s="7">
        <v>1639.44</v>
      </c>
      <c r="I116" s="7">
        <v>40413</v>
      </c>
      <c r="K116" s="8">
        <f t="shared" si="3"/>
        <v>7453875.0499999998</v>
      </c>
    </row>
    <row r="117" spans="1:11">
      <c r="A117" s="2">
        <v>2019</v>
      </c>
      <c r="B117" s="2" t="s">
        <v>8</v>
      </c>
      <c r="C117" s="7">
        <v>2242122.09</v>
      </c>
      <c r="D117" s="7">
        <v>931477.49</v>
      </c>
      <c r="E117" s="7">
        <v>1526524.42</v>
      </c>
      <c r="F117" s="147">
        <v>3535484.3</v>
      </c>
      <c r="G117" s="7">
        <v>521</v>
      </c>
      <c r="H117" s="7">
        <v>1639.44</v>
      </c>
      <c r="I117" s="7">
        <v>42988.01</v>
      </c>
      <c r="K117" s="8">
        <f t="shared" si="3"/>
        <v>8280756.75</v>
      </c>
    </row>
    <row r="118" spans="1:11">
      <c r="A118" s="2">
        <v>2019</v>
      </c>
      <c r="B118" s="2" t="s">
        <v>9</v>
      </c>
      <c r="C118" s="7">
        <v>1934366.61</v>
      </c>
      <c r="D118" s="7">
        <v>850102.05</v>
      </c>
      <c r="E118" s="7">
        <v>1552688.85</v>
      </c>
      <c r="F118" s="147">
        <v>3895410.4</v>
      </c>
      <c r="G118" s="7">
        <v>521</v>
      </c>
      <c r="H118" s="7">
        <v>1639.44</v>
      </c>
      <c r="I118" s="7">
        <v>47900.89</v>
      </c>
      <c r="K118" s="8">
        <f t="shared" si="3"/>
        <v>8282629.2400000002</v>
      </c>
    </row>
    <row r="119" spans="1:11">
      <c r="A119" s="2">
        <v>2019</v>
      </c>
      <c r="B119" s="2" t="s">
        <v>10</v>
      </c>
      <c r="C119" s="7">
        <v>1670017.49</v>
      </c>
      <c r="D119" s="7">
        <v>752118.35</v>
      </c>
      <c r="E119" s="7">
        <v>1541231.35</v>
      </c>
      <c r="F119" s="147">
        <v>3701547.2</v>
      </c>
      <c r="G119" s="7">
        <v>521</v>
      </c>
      <c r="H119" s="7">
        <v>1639.44</v>
      </c>
      <c r="I119" s="7">
        <v>52298.7</v>
      </c>
      <c r="K119" s="8">
        <f t="shared" si="3"/>
        <v>7719373.5300000012</v>
      </c>
    </row>
    <row r="120" spans="1:11">
      <c r="A120" s="2">
        <v>2019</v>
      </c>
      <c r="B120" s="2" t="s">
        <v>11</v>
      </c>
      <c r="C120" s="7">
        <v>1844226.78</v>
      </c>
      <c r="D120" s="7">
        <v>828171.5</v>
      </c>
      <c r="E120" s="7">
        <v>1592016.25</v>
      </c>
      <c r="F120" s="147">
        <v>3751540.1</v>
      </c>
      <c r="G120" s="7">
        <v>521</v>
      </c>
      <c r="H120" s="7">
        <v>1639.44</v>
      </c>
      <c r="I120" s="7">
        <v>61411</v>
      </c>
      <c r="K120" s="8">
        <f t="shared" si="3"/>
        <v>8079526.0700000012</v>
      </c>
    </row>
    <row r="121" spans="1:11">
      <c r="A121" s="2">
        <v>2019</v>
      </c>
      <c r="B121" s="2" t="s">
        <v>12</v>
      </c>
      <c r="C121" s="147">
        <v>2228026.5</v>
      </c>
      <c r="D121" s="147">
        <v>989883.83</v>
      </c>
      <c r="E121" s="147">
        <v>1633297.58</v>
      </c>
      <c r="F121" s="147">
        <v>3388847.5</v>
      </c>
      <c r="G121" s="147">
        <v>521</v>
      </c>
      <c r="H121" s="147">
        <v>1639.44</v>
      </c>
      <c r="I121" s="147">
        <v>48220.2</v>
      </c>
      <c r="K121" s="8">
        <f t="shared" si="3"/>
        <v>8290436.0500000007</v>
      </c>
    </row>
    <row r="122" spans="1:11">
      <c r="A122" s="2">
        <v>2019</v>
      </c>
      <c r="B122" s="2" t="s">
        <v>13</v>
      </c>
      <c r="C122" s="147">
        <v>2535205.39</v>
      </c>
      <c r="D122" s="147">
        <v>1058506.24</v>
      </c>
      <c r="E122" s="147">
        <v>1616182.64</v>
      </c>
      <c r="F122" s="147">
        <v>2915245.6</v>
      </c>
      <c r="G122" s="147">
        <v>521</v>
      </c>
      <c r="H122" s="147">
        <v>1639.44</v>
      </c>
      <c r="I122" s="147">
        <v>51290.12</v>
      </c>
      <c r="K122" s="8">
        <f t="shared" si="3"/>
        <v>8178590.4299999997</v>
      </c>
    </row>
    <row r="123" spans="1:11">
      <c r="K123" s="8"/>
    </row>
    <row r="124" spans="1:11">
      <c r="K124" s="8"/>
    </row>
    <row r="125" spans="1:11">
      <c r="K125" s="8"/>
    </row>
    <row r="126" spans="1:11">
      <c r="A126" s="14" t="s">
        <v>64</v>
      </c>
      <c r="K126" s="8"/>
    </row>
    <row r="127" spans="1:11">
      <c r="A127" s="14" t="s">
        <v>65</v>
      </c>
      <c r="K127" s="8"/>
    </row>
    <row r="128" spans="1:11">
      <c r="A128" s="2">
        <v>2010</v>
      </c>
      <c r="C128" s="7">
        <f t="shared" ref="C128" si="5">SUM(C3:C14)</f>
        <v>25348494</v>
      </c>
      <c r="D128" s="7">
        <f t="shared" ref="D128:I128" si="6">SUM(D3:D14)</f>
        <v>11387103</v>
      </c>
      <c r="E128" s="7">
        <f t="shared" si="6"/>
        <v>20855253</v>
      </c>
      <c r="F128" s="7">
        <f t="shared" si="6"/>
        <v>38077454.969999999</v>
      </c>
      <c r="G128" s="7">
        <f t="shared" si="6"/>
        <v>9732</v>
      </c>
      <c r="H128" s="7">
        <f t="shared" si="6"/>
        <v>31586.329999999994</v>
      </c>
      <c r="I128" s="7">
        <f t="shared" si="6"/>
        <v>719199</v>
      </c>
      <c r="K128" s="8">
        <f>SUM(C128:I128)</f>
        <v>96428822.299999997</v>
      </c>
    </row>
    <row r="129" spans="1:11">
      <c r="A129" s="2">
        <v>2011</v>
      </c>
      <c r="C129" s="7">
        <f t="shared" ref="C129" si="7">SUM(C15:C26)</f>
        <v>25466302</v>
      </c>
      <c r="D129" s="7">
        <f t="shared" ref="D129:I129" si="8">SUM(D15:D26)</f>
        <v>11698450.35</v>
      </c>
      <c r="E129" s="7">
        <f t="shared" si="8"/>
        <v>21357589</v>
      </c>
      <c r="F129" s="7">
        <f t="shared" si="8"/>
        <v>39521514.93</v>
      </c>
      <c r="G129" s="7">
        <f t="shared" si="8"/>
        <v>7563</v>
      </c>
      <c r="H129" s="7">
        <f t="shared" si="8"/>
        <v>27611.850000000006</v>
      </c>
      <c r="I129" s="7">
        <f t="shared" si="8"/>
        <v>713388</v>
      </c>
      <c r="K129" s="8">
        <f t="shared" ref="K129:K137" si="9">SUM(C129:I129)</f>
        <v>98792419.129999995</v>
      </c>
    </row>
    <row r="130" spans="1:11">
      <c r="A130" s="2">
        <v>2012</v>
      </c>
      <c r="C130" s="7">
        <f t="shared" ref="C130" si="10">SUM(C27:C38)</f>
        <v>24774725.299999997</v>
      </c>
      <c r="D130" s="7">
        <f t="shared" ref="D130:I130" si="11">SUM(D27:D38)</f>
        <v>11692349.939999999</v>
      </c>
      <c r="E130" s="7">
        <f t="shared" si="11"/>
        <v>21917336.890000001</v>
      </c>
      <c r="F130" s="7">
        <f t="shared" si="11"/>
        <v>42337528.850000001</v>
      </c>
      <c r="G130" s="7">
        <f t="shared" si="11"/>
        <v>5733</v>
      </c>
      <c r="H130" s="7">
        <f t="shared" si="11"/>
        <v>26092.800000000007</v>
      </c>
      <c r="I130" s="7">
        <f t="shared" si="11"/>
        <v>715663</v>
      </c>
      <c r="K130" s="8">
        <f t="shared" si="9"/>
        <v>101469429.77999999</v>
      </c>
    </row>
    <row r="131" spans="1:11">
      <c r="A131" s="2">
        <v>2013</v>
      </c>
      <c r="C131" s="7">
        <f t="shared" ref="C131" si="12">SUM(C39:C50)</f>
        <v>25587070.509999998</v>
      </c>
      <c r="D131" s="7">
        <f t="shared" ref="D131:I131" si="13">SUM(D39:D50)</f>
        <v>12087561.67</v>
      </c>
      <c r="E131" s="7">
        <f t="shared" si="13"/>
        <v>16562845.530000001</v>
      </c>
      <c r="F131" s="7">
        <f t="shared" si="13"/>
        <v>49310777.399999991</v>
      </c>
      <c r="G131" s="7">
        <f t="shared" si="13"/>
        <v>5733</v>
      </c>
      <c r="H131" s="7">
        <f t="shared" si="13"/>
        <v>26092.800000000007</v>
      </c>
      <c r="I131" s="7">
        <f t="shared" si="13"/>
        <v>719239</v>
      </c>
      <c r="K131" s="8">
        <f t="shared" si="9"/>
        <v>104299319.90999998</v>
      </c>
    </row>
    <row r="132" spans="1:11">
      <c r="A132" s="2">
        <v>2014</v>
      </c>
      <c r="C132" s="7">
        <f t="shared" ref="C132" si="14">SUM(C51:C62)</f>
        <v>25720643.669999994</v>
      </c>
      <c r="D132" s="7">
        <f t="shared" ref="D132:I132" si="15">SUM(D51:D62)</f>
        <v>11853212.560000001</v>
      </c>
      <c r="E132" s="7">
        <f t="shared" si="15"/>
        <v>15962528.779999999</v>
      </c>
      <c r="F132" s="7">
        <f t="shared" si="15"/>
        <v>50998403.280000001</v>
      </c>
      <c r="G132" s="7">
        <f t="shared" si="15"/>
        <v>5733</v>
      </c>
      <c r="H132" s="7">
        <f t="shared" si="15"/>
        <v>25409.019999999997</v>
      </c>
      <c r="I132" s="7">
        <f t="shared" si="15"/>
        <v>720792</v>
      </c>
      <c r="K132" s="8">
        <f t="shared" si="9"/>
        <v>105286722.30999999</v>
      </c>
    </row>
    <row r="133" spans="1:11">
      <c r="A133" s="2">
        <v>2015</v>
      </c>
      <c r="C133" s="7">
        <f t="shared" ref="C133" si="16">SUM(C63:C74)</f>
        <v>24960131.039999999</v>
      </c>
      <c r="D133" s="7">
        <f t="shared" ref="D133:I133" si="17">SUM(D63:D74)</f>
        <v>12033955.310000002</v>
      </c>
      <c r="E133" s="7">
        <f t="shared" si="17"/>
        <v>20081441.440000001</v>
      </c>
      <c r="F133" s="7">
        <f t="shared" si="17"/>
        <v>47530354.799999997</v>
      </c>
      <c r="G133" s="7">
        <f t="shared" si="17"/>
        <v>5184</v>
      </c>
      <c r="H133" s="7">
        <f t="shared" si="17"/>
        <v>24838.850000000002</v>
      </c>
      <c r="I133" s="7">
        <f t="shared" si="17"/>
        <v>720792</v>
      </c>
      <c r="K133" s="8">
        <f t="shared" si="9"/>
        <v>105356697.44</v>
      </c>
    </row>
    <row r="134" spans="1:11">
      <c r="A134" s="2">
        <v>2016</v>
      </c>
      <c r="C134" s="7">
        <f t="shared" ref="C134" si="18">SUM(C75:C86)</f>
        <v>24523575.810000002</v>
      </c>
      <c r="D134" s="7">
        <f t="shared" ref="D134:I134" si="19">SUM(D75:D86)</f>
        <v>11967605.530000001</v>
      </c>
      <c r="E134" s="7">
        <f t="shared" si="19"/>
        <v>19893743.399999999</v>
      </c>
      <c r="F134" s="7">
        <f t="shared" si="19"/>
        <v>45496516.099999994</v>
      </c>
      <c r="G134" s="7">
        <f t="shared" si="19"/>
        <v>6816</v>
      </c>
      <c r="H134" s="7">
        <f t="shared" si="19"/>
        <v>22056.959999999995</v>
      </c>
      <c r="I134" s="7">
        <f t="shared" si="19"/>
        <v>723427</v>
      </c>
      <c r="K134" s="8">
        <f t="shared" si="9"/>
        <v>102633740.8</v>
      </c>
    </row>
    <row r="135" spans="1:11">
      <c r="A135" s="2">
        <v>2017</v>
      </c>
      <c r="C135" s="7">
        <f t="shared" ref="C135" si="20">SUM(C87:C98)</f>
        <v>23863110.25</v>
      </c>
      <c r="D135" s="7">
        <f t="shared" ref="D135:I135" si="21">SUM(D87:D98)</f>
        <v>11410391.09</v>
      </c>
      <c r="E135" s="7">
        <f t="shared" si="21"/>
        <v>19029613.010000002</v>
      </c>
      <c r="F135" s="7">
        <f t="shared" si="21"/>
        <v>45750527.200000003</v>
      </c>
      <c r="G135" s="7">
        <f t="shared" si="21"/>
        <v>6801</v>
      </c>
      <c r="H135" s="7">
        <f t="shared" si="21"/>
        <v>19673.28</v>
      </c>
      <c r="I135" s="7">
        <f t="shared" si="21"/>
        <v>697359.11999999988</v>
      </c>
      <c r="K135" s="8">
        <f t="shared" si="9"/>
        <v>100777474.95000002</v>
      </c>
    </row>
    <row r="136" spans="1:11">
      <c r="A136" s="2">
        <v>2018</v>
      </c>
      <c r="C136" s="7">
        <f t="shared" ref="C136" si="22">SUM(C99:C110)</f>
        <v>25345904.98</v>
      </c>
      <c r="D136" s="7">
        <f t="shared" ref="D136:I136" si="23">SUM(D99:D110)</f>
        <v>11582140.129999999</v>
      </c>
      <c r="E136" s="7">
        <f t="shared" si="23"/>
        <v>18305428.530000001</v>
      </c>
      <c r="F136" s="7">
        <f t="shared" si="23"/>
        <v>43913955.700000003</v>
      </c>
      <c r="G136" s="7">
        <f t="shared" si="23"/>
        <v>6801</v>
      </c>
      <c r="H136" s="7">
        <f t="shared" si="23"/>
        <v>19673.28</v>
      </c>
      <c r="I136" s="7">
        <f t="shared" si="23"/>
        <v>691015.42999999993</v>
      </c>
      <c r="K136" s="8">
        <f t="shared" si="9"/>
        <v>99864919.050000012</v>
      </c>
    </row>
    <row r="137" spans="1:11">
      <c r="A137" s="2">
        <v>2019</v>
      </c>
      <c r="C137" s="7">
        <f t="shared" ref="C137" si="24">SUM(C111:C122)</f>
        <v>25253896.18</v>
      </c>
      <c r="D137" s="7">
        <f t="shared" ref="D137:I137" si="25">SUM(D111:D122)</f>
        <v>11138172.100000001</v>
      </c>
      <c r="E137" s="7">
        <f t="shared" si="25"/>
        <v>18739879.539999999</v>
      </c>
      <c r="F137" s="7">
        <f t="shared" si="25"/>
        <v>42766148</v>
      </c>
      <c r="G137" s="7">
        <f t="shared" si="25"/>
        <v>6288</v>
      </c>
      <c r="H137" s="7">
        <f t="shared" si="25"/>
        <v>19673.28</v>
      </c>
      <c r="I137" s="7">
        <f t="shared" si="25"/>
        <v>650270.32999999996</v>
      </c>
      <c r="K137" s="8">
        <f t="shared" si="9"/>
        <v>98574327.429999992</v>
      </c>
    </row>
    <row r="138" spans="1:11">
      <c r="K138" s="8"/>
    </row>
    <row r="139" spans="1:11">
      <c r="A139" s="14" t="s">
        <v>67</v>
      </c>
      <c r="K139" s="8"/>
    </row>
    <row r="140" spans="1:11">
      <c r="A140" s="2">
        <v>2010</v>
      </c>
      <c r="C140" s="18"/>
      <c r="D140" s="18"/>
      <c r="E140" s="18"/>
      <c r="F140" s="18"/>
      <c r="G140" s="18"/>
      <c r="H140" s="18"/>
      <c r="I140" s="18"/>
      <c r="K140" s="18"/>
    </row>
    <row r="141" spans="1:11">
      <c r="A141" s="2">
        <v>2011</v>
      </c>
      <c r="C141" s="17">
        <f t="shared" ref="C141" si="26">(C129-C128)/C128</f>
        <v>4.647534484691674E-3</v>
      </c>
      <c r="D141" s="17">
        <f t="shared" ref="D141:I141" si="27">(D129-D128)/D128</f>
        <v>2.7342103606158619E-2</v>
      </c>
      <c r="E141" s="17">
        <f t="shared" si="27"/>
        <v>2.4086785233437349E-2</v>
      </c>
      <c r="F141" s="17">
        <f t="shared" si="27"/>
        <v>3.7924277269521536E-2</v>
      </c>
      <c r="G141" s="17">
        <f t="shared" si="27"/>
        <v>-0.22287299630086313</v>
      </c>
      <c r="H141" s="17">
        <f t="shared" si="27"/>
        <v>-0.12582911658302784</v>
      </c>
      <c r="I141" s="17">
        <f t="shared" si="27"/>
        <v>-8.0798221354590315E-3</v>
      </c>
      <c r="K141" s="17">
        <f t="shared" ref="K141:K149" si="28">(K129-K128)/K128</f>
        <v>2.451131076398097E-2</v>
      </c>
    </row>
    <row r="142" spans="1:11">
      <c r="A142" s="2">
        <v>2012</v>
      </c>
      <c r="C142" s="17">
        <f t="shared" ref="C142" si="29">(C130-C129)/C129</f>
        <v>-2.7156542005981197E-2</v>
      </c>
      <c r="D142" s="17">
        <f t="shared" ref="D142:I149" si="30">(D130-D129)/D129</f>
        <v>-5.2147163235172851E-4</v>
      </c>
      <c r="E142" s="17">
        <f t="shared" si="30"/>
        <v>2.6208383820851718E-2</v>
      </c>
      <c r="F142" s="17">
        <f t="shared" si="30"/>
        <v>7.1252681608680479E-2</v>
      </c>
      <c r="G142" s="17">
        <f t="shared" si="30"/>
        <v>-0.24196747322491075</v>
      </c>
      <c r="H142" s="17">
        <f t="shared" si="30"/>
        <v>-5.5014423155275688E-2</v>
      </c>
      <c r="I142" s="17">
        <f t="shared" si="30"/>
        <v>3.1890079451855091E-3</v>
      </c>
      <c r="K142" s="17">
        <f t="shared" si="28"/>
        <v>2.7097328657144617E-2</v>
      </c>
    </row>
    <row r="143" spans="1:11">
      <c r="A143" s="2">
        <v>2013</v>
      </c>
      <c r="C143" s="17">
        <f t="shared" ref="C143" si="31">(C131-C130)/C130</f>
        <v>3.278927213776215E-2</v>
      </c>
      <c r="D143" s="17">
        <f t="shared" si="30"/>
        <v>3.3800881091316404E-2</v>
      </c>
      <c r="E143" s="17">
        <f t="shared" si="30"/>
        <v>-0.24430392190773134</v>
      </c>
      <c r="F143" s="17">
        <f t="shared" si="30"/>
        <v>0.16470608321770272</v>
      </c>
      <c r="G143" s="17">
        <f t="shared" si="30"/>
        <v>0</v>
      </c>
      <c r="H143" s="17">
        <f t="shared" si="30"/>
        <v>0</v>
      </c>
      <c r="I143" s="17">
        <f t="shared" si="30"/>
        <v>4.9967652372694968E-3</v>
      </c>
      <c r="K143" s="17">
        <f t="shared" si="28"/>
        <v>2.7889090695942566E-2</v>
      </c>
    </row>
    <row r="144" spans="1:11">
      <c r="A144" s="2">
        <v>2014</v>
      </c>
      <c r="C144" s="17">
        <f t="shared" ref="C144" si="32">(C132-C131)/C131</f>
        <v>5.2203381370990887E-3</v>
      </c>
      <c r="D144" s="17">
        <f t="shared" si="30"/>
        <v>-1.9387624766509209E-2</v>
      </c>
      <c r="E144" s="17">
        <f t="shared" si="30"/>
        <v>-3.6244783477130081E-2</v>
      </c>
      <c r="F144" s="17">
        <f t="shared" si="30"/>
        <v>3.4224280552510825E-2</v>
      </c>
      <c r="G144" s="17">
        <f t="shared" si="30"/>
        <v>0</v>
      </c>
      <c r="H144" s="17">
        <f t="shared" si="30"/>
        <v>-2.6205696590630732E-2</v>
      </c>
      <c r="I144" s="17">
        <f t="shared" si="30"/>
        <v>2.1592266270321825E-3</v>
      </c>
      <c r="K144" s="17">
        <f t="shared" si="28"/>
        <v>9.4670070797397022E-3</v>
      </c>
    </row>
    <row r="145" spans="1:11">
      <c r="A145" s="2">
        <v>2015</v>
      </c>
      <c r="C145" s="17">
        <f t="shared" ref="C145" si="33">(C133-C132)/C132</f>
        <v>-2.9568180320737495E-2</v>
      </c>
      <c r="D145" s="17">
        <f t="shared" si="30"/>
        <v>1.5248418864092474E-2</v>
      </c>
      <c r="E145" s="17">
        <f t="shared" si="30"/>
        <v>0.25803634980196427</v>
      </c>
      <c r="F145" s="17">
        <f t="shared" si="30"/>
        <v>-6.8003079644653616E-2</v>
      </c>
      <c r="G145" s="17">
        <f t="shared" si="30"/>
        <v>-9.5761381475667193E-2</v>
      </c>
      <c r="H145" s="17">
        <f t="shared" si="30"/>
        <v>-2.2439669062403616E-2</v>
      </c>
      <c r="I145" s="17">
        <f t="shared" si="30"/>
        <v>0</v>
      </c>
      <c r="K145" s="17">
        <f t="shared" si="28"/>
        <v>6.6461495300404081E-4</v>
      </c>
    </row>
    <row r="146" spans="1:11">
      <c r="A146" s="2">
        <v>2016</v>
      </c>
      <c r="C146" s="17">
        <f t="shared" ref="C146" si="34">(C134-C133)/C133</f>
        <v>-1.74901016865814E-2</v>
      </c>
      <c r="D146" s="17">
        <f t="shared" si="30"/>
        <v>-5.513547149777572E-3</v>
      </c>
      <c r="E146" s="17">
        <f t="shared" si="30"/>
        <v>-9.3468409905142161E-3</v>
      </c>
      <c r="F146" s="17">
        <f t="shared" si="30"/>
        <v>-4.279031176093815E-2</v>
      </c>
      <c r="G146" s="17">
        <f t="shared" si="30"/>
        <v>0.31481481481481483</v>
      </c>
      <c r="H146" s="17">
        <f t="shared" si="30"/>
        <v>-0.1119975361178157</v>
      </c>
      <c r="I146" s="17">
        <f t="shared" si="30"/>
        <v>3.6557009511759288E-3</v>
      </c>
      <c r="K146" s="17">
        <f t="shared" si="28"/>
        <v>-2.5845121441384473E-2</v>
      </c>
    </row>
    <row r="147" spans="1:11">
      <c r="A147" s="2">
        <v>2017</v>
      </c>
      <c r="C147" s="17">
        <f t="shared" ref="C147" si="35">(C135-C134)/C134</f>
        <v>-2.6931862021960261E-2</v>
      </c>
      <c r="D147" s="17">
        <f t="shared" si="30"/>
        <v>-4.6560227825290068E-2</v>
      </c>
      <c r="E147" s="17">
        <f t="shared" si="30"/>
        <v>-4.343729446113178E-2</v>
      </c>
      <c r="F147" s="17">
        <f t="shared" si="30"/>
        <v>5.5830890312941776E-3</v>
      </c>
      <c r="G147" s="17">
        <f t="shared" si="30"/>
        <v>-2.2007042253521128E-3</v>
      </c>
      <c r="H147" s="17">
        <f t="shared" si="30"/>
        <v>-0.10806928969359318</v>
      </c>
      <c r="I147" s="17">
        <f t="shared" si="30"/>
        <v>-3.6033877640729642E-2</v>
      </c>
      <c r="K147" s="17">
        <f t="shared" si="28"/>
        <v>-1.8086311923651323E-2</v>
      </c>
    </row>
    <row r="148" spans="1:11">
      <c r="A148" s="2">
        <v>2018</v>
      </c>
      <c r="C148" s="17">
        <f t="shared" ref="C148" si="36">(C136-C135)/C135</f>
        <v>6.2137530039698005E-2</v>
      </c>
      <c r="D148" s="17">
        <f t="shared" ref="D148:I148" si="37">(D136-D135)/D135</f>
        <v>1.5051985391676799E-2</v>
      </c>
      <c r="E148" s="17">
        <f t="shared" si="37"/>
        <v>-3.8055659861261699E-2</v>
      </c>
      <c r="F148" s="17">
        <f t="shared" si="37"/>
        <v>-4.0143176754474645E-2</v>
      </c>
      <c r="G148" s="17">
        <f t="shared" si="37"/>
        <v>0</v>
      </c>
      <c r="H148" s="17">
        <f t="shared" si="37"/>
        <v>0</v>
      </c>
      <c r="I148" s="17">
        <f t="shared" si="37"/>
        <v>-9.0967334018660934E-3</v>
      </c>
      <c r="K148" s="17">
        <f t="shared" si="28"/>
        <v>-9.0551574193813017E-3</v>
      </c>
    </row>
    <row r="149" spans="1:11">
      <c r="A149" s="2">
        <v>2019</v>
      </c>
      <c r="C149" s="17">
        <f t="shared" ref="C149" si="38">(C137-C136)/C136</f>
        <v>-3.630124869189056E-3</v>
      </c>
      <c r="D149" s="17">
        <f t="shared" si="30"/>
        <v>-3.8332123857665455E-2</v>
      </c>
      <c r="E149" s="17">
        <f t="shared" si="30"/>
        <v>2.373345203517057E-2</v>
      </c>
      <c r="F149" s="17">
        <f t="shared" si="30"/>
        <v>-2.6137652181490972E-2</v>
      </c>
      <c r="G149" s="17">
        <f t="shared" si="30"/>
        <v>-7.5430083811204238E-2</v>
      </c>
      <c r="H149" s="17">
        <f t="shared" si="30"/>
        <v>0</v>
      </c>
      <c r="I149" s="17">
        <f t="shared" si="30"/>
        <v>-5.8964095780031978E-2</v>
      </c>
      <c r="K149" s="17">
        <f t="shared" si="28"/>
        <v>-1.2923373215311484E-2</v>
      </c>
    </row>
  </sheetData>
  <mergeCells count="1">
    <mergeCell ref="K1:K2"/>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49"/>
  <sheetViews>
    <sheetView workbookViewId="0">
      <pane ySplit="2" topLeftCell="A3" activePane="bottomLeft" state="frozen"/>
      <selection activeCell="N139" sqref="N139"/>
      <selection pane="bottomLeft"/>
    </sheetView>
  </sheetViews>
  <sheetFormatPr defaultColWidth="8.58203125" defaultRowHeight="14.5"/>
  <cols>
    <col min="1" max="1" width="8.58203125" style="2"/>
    <col min="2" max="2" width="12.5" style="2" customWidth="1"/>
    <col min="3" max="3" width="11.33203125" style="4" bestFit="1" customWidth="1"/>
    <col min="4" max="4" width="14.33203125" style="4" bestFit="1" customWidth="1"/>
    <col min="5" max="5" width="7.5" style="4" bestFit="1" customWidth="1"/>
    <col min="6" max="6" width="10.58203125" style="4" bestFit="1" customWidth="1"/>
    <col min="7" max="7" width="10.58203125" style="4" customWidth="1"/>
    <col min="8" max="8" width="12.5" style="4" bestFit="1" customWidth="1"/>
    <col min="9" max="10" width="8.58203125" style="4"/>
    <col min="11" max="11" width="14.83203125" style="4" customWidth="1"/>
    <col min="12" max="12" width="14.33203125" style="4" bestFit="1" customWidth="1"/>
    <col min="13" max="13" width="11.58203125" style="4" customWidth="1"/>
    <col min="14" max="16384" width="8.58203125" style="4"/>
  </cols>
  <sheetData>
    <row r="1" spans="1:13">
      <c r="C1" s="3" t="s">
        <v>54</v>
      </c>
      <c r="D1" s="3" t="s">
        <v>55</v>
      </c>
      <c r="E1" s="3" t="s">
        <v>57</v>
      </c>
      <c r="F1" s="3" t="s">
        <v>139</v>
      </c>
      <c r="G1" s="3"/>
      <c r="H1" s="3" t="s">
        <v>62</v>
      </c>
      <c r="K1" s="3" t="s">
        <v>54</v>
      </c>
      <c r="L1" s="3" t="s">
        <v>55</v>
      </c>
      <c r="M1" s="3" t="s">
        <v>32</v>
      </c>
    </row>
    <row r="2" spans="1:13" ht="43.5">
      <c r="A2" s="5" t="s">
        <v>0</v>
      </c>
      <c r="B2" s="5" t="s">
        <v>1</v>
      </c>
      <c r="C2" s="6" t="s">
        <v>60</v>
      </c>
      <c r="D2" s="6" t="s">
        <v>60</v>
      </c>
      <c r="E2" s="6" t="s">
        <v>60</v>
      </c>
      <c r="F2" s="6" t="s">
        <v>60</v>
      </c>
      <c r="G2" s="6"/>
      <c r="H2" s="6" t="s">
        <v>60</v>
      </c>
      <c r="K2" s="129" t="s">
        <v>61</v>
      </c>
      <c r="L2" s="129" t="s">
        <v>61</v>
      </c>
      <c r="M2" s="129" t="s">
        <v>61</v>
      </c>
    </row>
    <row r="3" spans="1:13">
      <c r="A3" s="2">
        <v>2010</v>
      </c>
      <c r="B3" s="2" t="s">
        <v>2</v>
      </c>
      <c r="C3" s="15">
        <v>5000.6000000000004</v>
      </c>
      <c r="D3" s="15">
        <v>6863.2</v>
      </c>
      <c r="E3" s="15">
        <v>7.3220000000000001</v>
      </c>
      <c r="F3" s="15">
        <v>163.69999999999999</v>
      </c>
      <c r="G3" s="15"/>
      <c r="H3" s="15">
        <f>SUM(C3:F3)</f>
        <v>12034.822</v>
      </c>
      <c r="K3" s="15">
        <v>-1293.4000000000001</v>
      </c>
      <c r="L3" s="6">
        <v>0</v>
      </c>
      <c r="M3" s="15">
        <f>SUM(K3:L3)</f>
        <v>-1293.4000000000001</v>
      </c>
    </row>
    <row r="4" spans="1:13">
      <c r="A4" s="2">
        <v>2010</v>
      </c>
      <c r="B4" s="2" t="s">
        <v>3</v>
      </c>
      <c r="C4" s="15">
        <v>5928.4</v>
      </c>
      <c r="D4" s="15">
        <v>6888.5</v>
      </c>
      <c r="E4" s="15">
        <v>7.3220000000000001</v>
      </c>
      <c r="F4" s="15">
        <v>163.69999999999999</v>
      </c>
      <c r="G4" s="15"/>
      <c r="H4" s="15">
        <f t="shared" ref="H4:H67" si="0">SUM(C4:F4)</f>
        <v>12987.922</v>
      </c>
      <c r="K4" s="15">
        <v>-1351.7</v>
      </c>
      <c r="L4" s="6">
        <v>0</v>
      </c>
      <c r="M4" s="15">
        <f t="shared" ref="M4:M67" si="1">SUM(K4:L4)</f>
        <v>-1351.7</v>
      </c>
    </row>
    <row r="5" spans="1:13">
      <c r="A5" s="2">
        <v>2010</v>
      </c>
      <c r="B5" s="2" t="s">
        <v>4</v>
      </c>
      <c r="C5" s="15">
        <v>5223.1000000000004</v>
      </c>
      <c r="D5" s="15">
        <v>6765.6</v>
      </c>
      <c r="E5" s="15">
        <v>7.3220000000000001</v>
      </c>
      <c r="F5" s="15">
        <v>163.69999999999999</v>
      </c>
      <c r="G5" s="15"/>
      <c r="H5" s="15">
        <f t="shared" si="0"/>
        <v>12159.722000000002</v>
      </c>
      <c r="K5" s="15">
        <v>-1313.4</v>
      </c>
      <c r="L5" s="6">
        <v>0</v>
      </c>
      <c r="M5" s="15">
        <f t="shared" si="1"/>
        <v>-1313.4</v>
      </c>
    </row>
    <row r="6" spans="1:13">
      <c r="A6" s="2">
        <v>2010</v>
      </c>
      <c r="B6" s="2" t="s">
        <v>5</v>
      </c>
      <c r="C6" s="15">
        <v>5262.5</v>
      </c>
      <c r="D6" s="15">
        <v>6868.2</v>
      </c>
      <c r="E6" s="15">
        <v>7.3220000000000001</v>
      </c>
      <c r="F6" s="15">
        <v>163.69999999999999</v>
      </c>
      <c r="G6" s="15"/>
      <c r="H6" s="15">
        <f t="shared" si="0"/>
        <v>12301.722000000002</v>
      </c>
      <c r="K6" s="15">
        <v>-1356.1999999999998</v>
      </c>
      <c r="L6" s="6">
        <v>0</v>
      </c>
      <c r="M6" s="15">
        <f t="shared" si="1"/>
        <v>-1356.1999999999998</v>
      </c>
    </row>
    <row r="7" spans="1:13">
      <c r="A7" s="2">
        <v>2010</v>
      </c>
      <c r="B7" s="2" t="s">
        <v>6</v>
      </c>
      <c r="C7" s="15">
        <v>5034</v>
      </c>
      <c r="D7" s="15">
        <v>6933.64</v>
      </c>
      <c r="E7" s="15">
        <v>7.3220000000000001</v>
      </c>
      <c r="F7" s="15">
        <v>163.69999999999999</v>
      </c>
      <c r="G7" s="15"/>
      <c r="H7" s="15">
        <f t="shared" si="0"/>
        <v>12138.662</v>
      </c>
      <c r="K7" s="15">
        <v>-1376.6</v>
      </c>
      <c r="L7" s="6">
        <v>0</v>
      </c>
      <c r="M7" s="15">
        <f t="shared" si="1"/>
        <v>-1376.6</v>
      </c>
    </row>
    <row r="8" spans="1:13">
      <c r="A8" s="2">
        <v>2010</v>
      </c>
      <c r="B8" s="2" t="s">
        <v>7</v>
      </c>
      <c r="C8" s="15">
        <v>4932.8999999999996</v>
      </c>
      <c r="D8" s="15">
        <v>7073.2</v>
      </c>
      <c r="E8" s="15">
        <v>7.3220000000000001</v>
      </c>
      <c r="F8" s="15">
        <v>163.69999999999999</v>
      </c>
      <c r="G8" s="15"/>
      <c r="H8" s="15">
        <f t="shared" si="0"/>
        <v>12177.121999999999</v>
      </c>
      <c r="K8" s="15">
        <v>-1349.5</v>
      </c>
      <c r="L8" s="6">
        <v>0</v>
      </c>
      <c r="M8" s="15">
        <f t="shared" si="1"/>
        <v>-1349.5</v>
      </c>
    </row>
    <row r="9" spans="1:13">
      <c r="A9" s="2">
        <v>2010</v>
      </c>
      <c r="B9" s="2" t="s">
        <v>8</v>
      </c>
      <c r="C9" s="15">
        <v>5068.8</v>
      </c>
      <c r="D9" s="15">
        <v>7209.7</v>
      </c>
      <c r="E9" s="15">
        <v>7.3220000000000001</v>
      </c>
      <c r="F9" s="15">
        <v>163.69999999999999</v>
      </c>
      <c r="G9" s="15"/>
      <c r="H9" s="15">
        <f t="shared" si="0"/>
        <v>12449.522000000001</v>
      </c>
      <c r="K9" s="15">
        <v>-1500.8</v>
      </c>
      <c r="L9" s="6">
        <v>0</v>
      </c>
      <c r="M9" s="15">
        <f t="shared" si="1"/>
        <v>-1500.8</v>
      </c>
    </row>
    <row r="10" spans="1:13">
      <c r="A10" s="2">
        <v>2010</v>
      </c>
      <c r="B10" s="2" t="s">
        <v>9</v>
      </c>
      <c r="C10" s="15">
        <v>5066.3</v>
      </c>
      <c r="D10" s="15">
        <v>7286.6</v>
      </c>
      <c r="E10" s="15">
        <v>7.3220000000000001</v>
      </c>
      <c r="F10" s="15">
        <v>163.69999999999999</v>
      </c>
      <c r="G10" s="15"/>
      <c r="H10" s="15">
        <f t="shared" si="0"/>
        <v>12523.922000000002</v>
      </c>
      <c r="K10" s="15">
        <v>-1574.2</v>
      </c>
      <c r="L10" s="6">
        <v>0</v>
      </c>
      <c r="M10" s="15">
        <f t="shared" si="1"/>
        <v>-1574.2</v>
      </c>
    </row>
    <row r="11" spans="1:13">
      <c r="A11" s="2">
        <v>2010</v>
      </c>
      <c r="B11" s="2" t="s">
        <v>10</v>
      </c>
      <c r="C11" s="15">
        <v>5156.3999999999996</v>
      </c>
      <c r="D11" s="15">
        <v>7284.2</v>
      </c>
      <c r="E11" s="15">
        <v>7.3220000000000001</v>
      </c>
      <c r="F11" s="15">
        <v>163.69999999999999</v>
      </c>
      <c r="G11" s="15"/>
      <c r="H11" s="15">
        <f t="shared" si="0"/>
        <v>12611.621999999999</v>
      </c>
      <c r="K11" s="15">
        <v>-1645.6</v>
      </c>
      <c r="L11" s="6">
        <v>0</v>
      </c>
      <c r="M11" s="15">
        <f t="shared" si="1"/>
        <v>-1645.6</v>
      </c>
    </row>
    <row r="12" spans="1:13">
      <c r="A12" s="2">
        <v>2010</v>
      </c>
      <c r="B12" s="2" t="s">
        <v>11</v>
      </c>
      <c r="C12" s="15">
        <v>4958.3999999999996</v>
      </c>
      <c r="D12" s="15">
        <v>6992.6</v>
      </c>
      <c r="E12" s="15">
        <v>7.3220000000000001</v>
      </c>
      <c r="F12" s="15">
        <v>163.69999999999999</v>
      </c>
      <c r="G12" s="15"/>
      <c r="H12" s="15">
        <f t="shared" si="0"/>
        <v>12122.022000000001</v>
      </c>
      <c r="K12" s="15">
        <v>-1520.9</v>
      </c>
      <c r="L12" s="6">
        <v>0</v>
      </c>
      <c r="M12" s="15">
        <f t="shared" si="1"/>
        <v>-1520.9</v>
      </c>
    </row>
    <row r="13" spans="1:13">
      <c r="A13" s="2">
        <v>2010</v>
      </c>
      <c r="B13" s="2" t="s">
        <v>12</v>
      </c>
      <c r="C13" s="15">
        <v>5299.9</v>
      </c>
      <c r="D13" s="15">
        <v>6923.7</v>
      </c>
      <c r="E13" s="15">
        <v>7.3220000000000001</v>
      </c>
      <c r="F13" s="15">
        <v>163.69999999999999</v>
      </c>
      <c r="G13" s="15"/>
      <c r="H13" s="15">
        <f t="shared" si="0"/>
        <v>12394.621999999999</v>
      </c>
      <c r="K13" s="15">
        <v>-1533.9</v>
      </c>
      <c r="L13" s="6">
        <v>0</v>
      </c>
      <c r="M13" s="15">
        <f t="shared" si="1"/>
        <v>-1533.9</v>
      </c>
    </row>
    <row r="14" spans="1:13">
      <c r="A14" s="2">
        <v>2010</v>
      </c>
      <c r="B14" s="2" t="s">
        <v>13</v>
      </c>
      <c r="C14" s="15">
        <v>4953.8999999999996</v>
      </c>
      <c r="D14" s="15">
        <v>6886.9</v>
      </c>
      <c r="E14" s="15">
        <v>7.1839999999999993</v>
      </c>
      <c r="F14" s="15">
        <v>163.69999999999999</v>
      </c>
      <c r="G14" s="15"/>
      <c r="H14" s="15">
        <f t="shared" si="0"/>
        <v>12011.683999999999</v>
      </c>
      <c r="K14" s="15">
        <v>-1699.9</v>
      </c>
      <c r="L14" s="6">
        <v>0</v>
      </c>
      <c r="M14" s="15">
        <f t="shared" si="1"/>
        <v>-1699.9</v>
      </c>
    </row>
    <row r="15" spans="1:13">
      <c r="A15" s="2">
        <f t="shared" ref="A15:A46" si="2">A3+1</f>
        <v>2011</v>
      </c>
      <c r="B15" s="2" t="s">
        <v>2</v>
      </c>
      <c r="C15" s="15">
        <v>5473</v>
      </c>
      <c r="D15" s="15">
        <v>6797.2</v>
      </c>
      <c r="E15" s="15">
        <v>7.1839999999999993</v>
      </c>
      <c r="F15" s="15">
        <v>163.69999999999999</v>
      </c>
      <c r="G15" s="15"/>
      <c r="H15" s="15">
        <f t="shared" si="0"/>
        <v>12441.084000000001</v>
      </c>
      <c r="K15" s="15">
        <v>-1786.6</v>
      </c>
      <c r="L15" s="6">
        <v>0</v>
      </c>
      <c r="M15" s="15">
        <f t="shared" si="1"/>
        <v>-1786.6</v>
      </c>
    </row>
    <row r="16" spans="1:13">
      <c r="A16" s="2">
        <f t="shared" si="2"/>
        <v>2011</v>
      </c>
      <c r="B16" s="2" t="s">
        <v>3</v>
      </c>
      <c r="C16" s="15">
        <v>5445.9</v>
      </c>
      <c r="D16" s="15">
        <v>7356.9</v>
      </c>
      <c r="E16" s="15">
        <v>7.1539999999999999</v>
      </c>
      <c r="F16" s="15">
        <v>163.69999999999999</v>
      </c>
      <c r="G16" s="15"/>
      <c r="H16" s="15">
        <f t="shared" si="0"/>
        <v>12973.654</v>
      </c>
      <c r="K16" s="15">
        <v>-1926.5</v>
      </c>
      <c r="L16" s="6">
        <v>0</v>
      </c>
      <c r="M16" s="15">
        <f t="shared" si="1"/>
        <v>-1926.5</v>
      </c>
    </row>
    <row r="17" spans="1:13">
      <c r="A17" s="2">
        <f t="shared" si="2"/>
        <v>2011</v>
      </c>
      <c r="B17" s="2" t="s">
        <v>4</v>
      </c>
      <c r="C17" s="15">
        <v>5578.6</v>
      </c>
      <c r="D17" s="15">
        <v>6980.8</v>
      </c>
      <c r="E17" s="15">
        <v>7.2039999999999997</v>
      </c>
      <c r="F17" s="15">
        <v>163.6</v>
      </c>
      <c r="G17" s="15"/>
      <c r="H17" s="15">
        <f t="shared" si="0"/>
        <v>12730.204000000002</v>
      </c>
      <c r="K17" s="15">
        <v>-1850.1999999999998</v>
      </c>
      <c r="L17" s="6">
        <v>0</v>
      </c>
      <c r="M17" s="15">
        <f t="shared" si="1"/>
        <v>-1850.1999999999998</v>
      </c>
    </row>
    <row r="18" spans="1:13">
      <c r="A18" s="2">
        <f t="shared" si="2"/>
        <v>2011</v>
      </c>
      <c r="B18" s="2" t="s">
        <v>5</v>
      </c>
      <c r="C18" s="15">
        <v>5786.2</v>
      </c>
      <c r="D18" s="15">
        <v>6906.9</v>
      </c>
      <c r="E18" s="15">
        <v>7.1839999999999993</v>
      </c>
      <c r="F18" s="15">
        <v>163.6</v>
      </c>
      <c r="G18" s="15"/>
      <c r="H18" s="15">
        <f t="shared" si="0"/>
        <v>12863.883999999998</v>
      </c>
      <c r="K18" s="15">
        <v>-1768.9</v>
      </c>
      <c r="L18" s="6">
        <v>0</v>
      </c>
      <c r="M18" s="15">
        <f t="shared" si="1"/>
        <v>-1768.9</v>
      </c>
    </row>
    <row r="19" spans="1:13">
      <c r="A19" s="2">
        <f t="shared" si="2"/>
        <v>2011</v>
      </c>
      <c r="B19" s="2" t="s">
        <v>6</v>
      </c>
      <c r="C19" s="15">
        <v>5241</v>
      </c>
      <c r="D19" s="15">
        <v>7258</v>
      </c>
      <c r="E19" s="15">
        <v>6.7223888888888883</v>
      </c>
      <c r="F19" s="15">
        <v>163.6</v>
      </c>
      <c r="G19" s="15"/>
      <c r="H19" s="15">
        <f t="shared" si="0"/>
        <v>12669.32238888889</v>
      </c>
      <c r="K19" s="15">
        <v>-1464.5</v>
      </c>
      <c r="L19" s="6">
        <v>0</v>
      </c>
      <c r="M19" s="15">
        <f t="shared" si="1"/>
        <v>-1464.5</v>
      </c>
    </row>
    <row r="20" spans="1:13">
      <c r="A20" s="2">
        <f t="shared" si="2"/>
        <v>2011</v>
      </c>
      <c r="B20" s="2" t="s">
        <v>7</v>
      </c>
      <c r="C20" s="15">
        <v>5094.8</v>
      </c>
      <c r="D20" s="15">
        <v>7211.9</v>
      </c>
      <c r="E20" s="15">
        <v>6.9859999999999998</v>
      </c>
      <c r="F20" s="15">
        <v>163.69999999999999</v>
      </c>
      <c r="G20" s="15"/>
      <c r="H20" s="15">
        <f t="shared" si="0"/>
        <v>12477.386000000002</v>
      </c>
      <c r="K20" s="15">
        <v>-1452.3000000000002</v>
      </c>
      <c r="L20" s="6">
        <v>0</v>
      </c>
      <c r="M20" s="15">
        <f t="shared" si="1"/>
        <v>-1452.3000000000002</v>
      </c>
    </row>
    <row r="21" spans="1:13">
      <c r="A21" s="2">
        <f t="shared" si="2"/>
        <v>2011</v>
      </c>
      <c r="B21" s="2" t="s">
        <v>8</v>
      </c>
      <c r="C21" s="15">
        <v>5410.9</v>
      </c>
      <c r="D21" s="15">
        <v>6989.5</v>
      </c>
      <c r="E21" s="15">
        <v>6.8</v>
      </c>
      <c r="F21" s="15">
        <v>163.6</v>
      </c>
      <c r="G21" s="15"/>
      <c r="H21" s="15">
        <f t="shared" si="0"/>
        <v>12570.8</v>
      </c>
      <c r="K21" s="15">
        <v>-1735.7</v>
      </c>
      <c r="L21" s="6">
        <v>0</v>
      </c>
      <c r="M21" s="15">
        <f t="shared" si="1"/>
        <v>-1735.7</v>
      </c>
    </row>
    <row r="22" spans="1:13">
      <c r="A22" s="2">
        <f t="shared" si="2"/>
        <v>2011</v>
      </c>
      <c r="B22" s="2" t="s">
        <v>9</v>
      </c>
      <c r="C22" s="15">
        <v>5497.4</v>
      </c>
      <c r="D22" s="15">
        <v>7531.2</v>
      </c>
      <c r="E22" s="15">
        <v>7.0940000000000003</v>
      </c>
      <c r="F22" s="15">
        <v>163.6</v>
      </c>
      <c r="G22" s="15"/>
      <c r="H22" s="15">
        <f t="shared" si="0"/>
        <v>13199.293999999998</v>
      </c>
      <c r="K22" s="15">
        <v>-1334.0500000000002</v>
      </c>
      <c r="L22" s="6">
        <v>0</v>
      </c>
      <c r="M22" s="15">
        <f t="shared" si="1"/>
        <v>-1334.0500000000002</v>
      </c>
    </row>
    <row r="23" spans="1:13">
      <c r="A23" s="2">
        <f t="shared" si="2"/>
        <v>2011</v>
      </c>
      <c r="B23" s="2" t="s">
        <v>10</v>
      </c>
      <c r="C23" s="15">
        <v>5865.4</v>
      </c>
      <c r="D23" s="15">
        <v>7365.3</v>
      </c>
      <c r="E23" s="15">
        <v>6.04</v>
      </c>
      <c r="F23" s="15">
        <v>163.6</v>
      </c>
      <c r="G23" s="15"/>
      <c r="H23" s="15">
        <f t="shared" si="0"/>
        <v>13400.340000000002</v>
      </c>
      <c r="K23" s="15">
        <v>-1931.8</v>
      </c>
      <c r="L23" s="6">
        <v>0</v>
      </c>
      <c r="M23" s="15">
        <f t="shared" si="1"/>
        <v>-1931.8</v>
      </c>
    </row>
    <row r="24" spans="1:13">
      <c r="A24" s="2">
        <f t="shared" si="2"/>
        <v>2011</v>
      </c>
      <c r="B24" s="2" t="s">
        <v>11</v>
      </c>
      <c r="C24" s="15">
        <v>5679.6</v>
      </c>
      <c r="D24" s="15">
        <v>7194.6</v>
      </c>
      <c r="E24" s="15">
        <v>6.04</v>
      </c>
      <c r="F24" s="15">
        <v>163.6</v>
      </c>
      <c r="G24" s="15"/>
      <c r="H24" s="15">
        <f t="shared" si="0"/>
        <v>13043.840000000002</v>
      </c>
      <c r="K24" s="15">
        <v>-1885</v>
      </c>
      <c r="L24" s="6">
        <v>0</v>
      </c>
      <c r="M24" s="15">
        <f t="shared" si="1"/>
        <v>-1885</v>
      </c>
    </row>
    <row r="25" spans="1:13">
      <c r="A25" s="2">
        <f t="shared" si="2"/>
        <v>2011</v>
      </c>
      <c r="B25" s="2" t="s">
        <v>12</v>
      </c>
      <c r="C25" s="15">
        <v>5544.2</v>
      </c>
      <c r="D25" s="15">
        <v>7364.5</v>
      </c>
      <c r="E25" s="15">
        <v>6.04</v>
      </c>
      <c r="F25" s="15">
        <v>163.6</v>
      </c>
      <c r="G25" s="15"/>
      <c r="H25" s="15">
        <f t="shared" si="0"/>
        <v>13078.340000000002</v>
      </c>
      <c r="K25" s="15">
        <v>-1878.3000000000002</v>
      </c>
      <c r="L25" s="6">
        <v>0</v>
      </c>
      <c r="M25" s="15">
        <f t="shared" si="1"/>
        <v>-1878.3000000000002</v>
      </c>
    </row>
    <row r="26" spans="1:13">
      <c r="A26" s="2">
        <f t="shared" si="2"/>
        <v>2011</v>
      </c>
      <c r="B26" s="2" t="s">
        <v>13</v>
      </c>
      <c r="C26" s="15">
        <v>5126.3999999999996</v>
      </c>
      <c r="D26" s="15">
        <v>7157.6</v>
      </c>
      <c r="E26" s="15">
        <v>6.04</v>
      </c>
      <c r="F26" s="15">
        <v>163.6</v>
      </c>
      <c r="G26" s="15"/>
      <c r="H26" s="15">
        <f t="shared" si="0"/>
        <v>12453.640000000001</v>
      </c>
      <c r="K26" s="15">
        <v>-1795.9</v>
      </c>
      <c r="L26" s="6">
        <v>0</v>
      </c>
      <c r="M26" s="15">
        <f t="shared" si="1"/>
        <v>-1795.9</v>
      </c>
    </row>
    <row r="27" spans="1:13">
      <c r="A27" s="2">
        <f t="shared" si="2"/>
        <v>2012</v>
      </c>
      <c r="B27" s="2" t="s">
        <v>2</v>
      </c>
      <c r="C27" s="15">
        <v>5569.6</v>
      </c>
      <c r="D27" s="15">
        <v>7103.6</v>
      </c>
      <c r="E27" s="15">
        <v>6.04</v>
      </c>
      <c r="F27" s="15">
        <v>163.6</v>
      </c>
      <c r="G27" s="15"/>
      <c r="H27" s="15">
        <f t="shared" si="0"/>
        <v>12842.840000000002</v>
      </c>
      <c r="K27" s="15">
        <v>-1908.6999999999998</v>
      </c>
      <c r="L27" s="6">
        <v>0</v>
      </c>
      <c r="M27" s="15">
        <f t="shared" si="1"/>
        <v>-1908.6999999999998</v>
      </c>
    </row>
    <row r="28" spans="1:13">
      <c r="A28" s="2">
        <f t="shared" si="2"/>
        <v>2012</v>
      </c>
      <c r="B28" s="2" t="s">
        <v>3</v>
      </c>
      <c r="C28" s="15">
        <v>5657.1</v>
      </c>
      <c r="D28" s="15">
        <v>7153</v>
      </c>
      <c r="E28" s="15">
        <v>6.04</v>
      </c>
      <c r="F28" s="15">
        <v>163.6</v>
      </c>
      <c r="G28" s="15"/>
      <c r="H28" s="15">
        <f t="shared" si="0"/>
        <v>12979.740000000002</v>
      </c>
      <c r="K28" s="15">
        <v>-1950.6</v>
      </c>
      <c r="L28" s="6">
        <v>0</v>
      </c>
      <c r="M28" s="15">
        <f t="shared" si="1"/>
        <v>-1950.6</v>
      </c>
    </row>
    <row r="29" spans="1:13">
      <c r="A29" s="2">
        <f t="shared" si="2"/>
        <v>2012</v>
      </c>
      <c r="B29" s="2" t="s">
        <v>4</v>
      </c>
      <c r="C29" s="15">
        <v>6121.4</v>
      </c>
      <c r="D29" s="15">
        <v>7332.6</v>
      </c>
      <c r="E29" s="15">
        <v>6.04</v>
      </c>
      <c r="F29" s="15">
        <v>163.6</v>
      </c>
      <c r="G29" s="15"/>
      <c r="H29" s="15">
        <f t="shared" si="0"/>
        <v>13623.640000000001</v>
      </c>
      <c r="K29" s="15">
        <v>-1978.6</v>
      </c>
      <c r="L29" s="6">
        <v>0</v>
      </c>
      <c r="M29" s="15">
        <f t="shared" si="1"/>
        <v>-1978.6</v>
      </c>
    </row>
    <row r="30" spans="1:13">
      <c r="A30" s="2">
        <f t="shared" si="2"/>
        <v>2012</v>
      </c>
      <c r="B30" s="2" t="s">
        <v>5</v>
      </c>
      <c r="C30" s="15">
        <v>5587.4</v>
      </c>
      <c r="D30" s="15">
        <v>7263.4</v>
      </c>
      <c r="E30" s="15">
        <v>6.04</v>
      </c>
      <c r="F30" s="15">
        <v>163.6</v>
      </c>
      <c r="G30" s="15"/>
      <c r="H30" s="15">
        <f t="shared" si="0"/>
        <v>13020.44</v>
      </c>
      <c r="K30" s="15">
        <v>-1695.9</v>
      </c>
      <c r="L30" s="6">
        <v>0</v>
      </c>
      <c r="M30" s="15">
        <f t="shared" si="1"/>
        <v>-1695.9</v>
      </c>
    </row>
    <row r="31" spans="1:13">
      <c r="A31" s="2">
        <f t="shared" si="2"/>
        <v>2012</v>
      </c>
      <c r="B31" s="2" t="s">
        <v>6</v>
      </c>
      <c r="C31" s="15">
        <v>5655</v>
      </c>
      <c r="D31" s="15">
        <v>7423.9</v>
      </c>
      <c r="E31" s="15">
        <v>6.04</v>
      </c>
      <c r="F31" s="15">
        <v>163.6</v>
      </c>
      <c r="G31" s="15"/>
      <c r="H31" s="15">
        <f t="shared" si="0"/>
        <v>13248.54</v>
      </c>
      <c r="K31" s="15">
        <v>-1705.1999999999998</v>
      </c>
      <c r="L31" s="6">
        <v>0</v>
      </c>
      <c r="M31" s="15">
        <f t="shared" si="1"/>
        <v>-1705.1999999999998</v>
      </c>
    </row>
    <row r="32" spans="1:13">
      <c r="A32" s="2">
        <f t="shared" si="2"/>
        <v>2012</v>
      </c>
      <c r="B32" s="2" t="s">
        <v>7</v>
      </c>
      <c r="C32" s="15">
        <v>5923.2</v>
      </c>
      <c r="D32" s="15">
        <v>7569.9</v>
      </c>
      <c r="E32" s="15">
        <v>6.04</v>
      </c>
      <c r="F32" s="15">
        <v>163.6</v>
      </c>
      <c r="G32" s="15"/>
      <c r="H32" s="15">
        <f t="shared" si="0"/>
        <v>13662.74</v>
      </c>
      <c r="K32" s="15">
        <v>-2024.1</v>
      </c>
      <c r="L32" s="6">
        <v>0</v>
      </c>
      <c r="M32" s="15">
        <f t="shared" si="1"/>
        <v>-2024.1</v>
      </c>
    </row>
    <row r="33" spans="1:14">
      <c r="A33" s="2">
        <f t="shared" si="2"/>
        <v>2012</v>
      </c>
      <c r="B33" s="2" t="s">
        <v>8</v>
      </c>
      <c r="C33" s="15">
        <v>5313.3</v>
      </c>
      <c r="D33" s="15">
        <v>7603.4</v>
      </c>
      <c r="E33" s="15">
        <v>6.04</v>
      </c>
      <c r="F33" s="15">
        <v>163.6</v>
      </c>
      <c r="G33" s="15"/>
      <c r="H33" s="15">
        <f t="shared" si="0"/>
        <v>13086.340000000002</v>
      </c>
      <c r="K33" s="15">
        <v>-1633.3999999999999</v>
      </c>
      <c r="L33" s="6">
        <v>0</v>
      </c>
      <c r="M33" s="15">
        <f t="shared" si="1"/>
        <v>-1633.3999999999999</v>
      </c>
    </row>
    <row r="34" spans="1:14">
      <c r="A34" s="2">
        <f t="shared" si="2"/>
        <v>2012</v>
      </c>
      <c r="B34" s="2" t="s">
        <v>9</v>
      </c>
      <c r="C34" s="15">
        <v>5668.2000000000007</v>
      </c>
      <c r="D34" s="15">
        <v>8567.7000000000007</v>
      </c>
      <c r="E34" s="15">
        <v>6.04</v>
      </c>
      <c r="F34" s="15">
        <v>163.6</v>
      </c>
      <c r="G34" s="15"/>
      <c r="H34" s="15">
        <f t="shared" si="0"/>
        <v>14405.540000000003</v>
      </c>
      <c r="K34" s="15">
        <v>-1781.5</v>
      </c>
      <c r="L34" s="6">
        <v>0</v>
      </c>
      <c r="M34" s="15">
        <f t="shared" si="1"/>
        <v>-1781.5</v>
      </c>
    </row>
    <row r="35" spans="1:14">
      <c r="A35" s="2">
        <f t="shared" si="2"/>
        <v>2012</v>
      </c>
      <c r="B35" s="2" t="s">
        <v>10</v>
      </c>
      <c r="C35" s="15">
        <v>5639.1</v>
      </c>
      <c r="D35" s="15">
        <v>7542.6</v>
      </c>
      <c r="E35" s="15">
        <v>6.04</v>
      </c>
      <c r="F35" s="15">
        <v>163.6</v>
      </c>
      <c r="G35" s="15"/>
      <c r="H35" s="15">
        <f t="shared" si="0"/>
        <v>13351.340000000002</v>
      </c>
      <c r="K35" s="15">
        <v>-1744.9</v>
      </c>
      <c r="L35" s="6">
        <v>0</v>
      </c>
      <c r="M35" s="15">
        <f t="shared" si="1"/>
        <v>-1744.9</v>
      </c>
    </row>
    <row r="36" spans="1:14">
      <c r="A36" s="2">
        <f t="shared" si="2"/>
        <v>2012</v>
      </c>
      <c r="B36" s="2" t="s">
        <v>11</v>
      </c>
      <c r="C36" s="15">
        <v>5584.9</v>
      </c>
      <c r="D36" s="15">
        <v>7408.1</v>
      </c>
      <c r="E36" s="15">
        <v>6.04</v>
      </c>
      <c r="F36" s="15">
        <v>163.6</v>
      </c>
      <c r="G36" s="15"/>
      <c r="H36" s="15">
        <f t="shared" si="0"/>
        <v>13162.640000000001</v>
      </c>
      <c r="K36" s="15">
        <v>-1816.1999999999998</v>
      </c>
      <c r="L36" s="6">
        <v>0</v>
      </c>
      <c r="M36" s="15">
        <f t="shared" si="1"/>
        <v>-1816.1999999999998</v>
      </c>
    </row>
    <row r="37" spans="1:14">
      <c r="A37" s="2">
        <f t="shared" si="2"/>
        <v>2012</v>
      </c>
      <c r="B37" s="2" t="s">
        <v>12</v>
      </c>
      <c r="C37" s="15">
        <v>5545.5</v>
      </c>
      <c r="D37" s="15">
        <v>7181.5</v>
      </c>
      <c r="E37" s="15">
        <v>6.04</v>
      </c>
      <c r="F37" s="15">
        <v>163.6</v>
      </c>
      <c r="G37" s="15"/>
      <c r="H37" s="15">
        <f t="shared" si="0"/>
        <v>12896.640000000001</v>
      </c>
      <c r="K37" s="15">
        <v>-1761.1</v>
      </c>
      <c r="L37" s="6">
        <v>0</v>
      </c>
      <c r="M37" s="15">
        <f t="shared" si="1"/>
        <v>-1761.1</v>
      </c>
    </row>
    <row r="38" spans="1:14">
      <c r="A38" s="2">
        <f t="shared" si="2"/>
        <v>2012</v>
      </c>
      <c r="B38" s="2" t="s">
        <v>13</v>
      </c>
      <c r="C38" s="15">
        <v>5555.7000000000007</v>
      </c>
      <c r="D38" s="15">
        <v>6982.3</v>
      </c>
      <c r="E38" s="15">
        <v>6.04</v>
      </c>
      <c r="F38" s="15">
        <v>163.6</v>
      </c>
      <c r="G38" s="15"/>
      <c r="H38" s="15">
        <f t="shared" si="0"/>
        <v>12707.640000000001</v>
      </c>
      <c r="K38" s="15">
        <v>-1990.6</v>
      </c>
      <c r="L38" s="6">
        <v>0</v>
      </c>
      <c r="M38" s="15">
        <f t="shared" si="1"/>
        <v>-1990.6</v>
      </c>
      <c r="N38" s="16"/>
    </row>
    <row r="39" spans="1:14">
      <c r="A39" s="2">
        <f t="shared" si="2"/>
        <v>2013</v>
      </c>
      <c r="B39" s="2" t="s">
        <v>2</v>
      </c>
      <c r="C39" s="15">
        <v>5780.6</v>
      </c>
      <c r="D39" s="15">
        <v>7032</v>
      </c>
      <c r="E39" s="15">
        <v>6.04</v>
      </c>
      <c r="F39" s="15">
        <v>163.6</v>
      </c>
      <c r="G39" s="15"/>
      <c r="H39" s="15">
        <f t="shared" si="0"/>
        <v>12982.240000000002</v>
      </c>
      <c r="K39" s="15">
        <v>-2024.5</v>
      </c>
      <c r="L39" s="6">
        <v>0</v>
      </c>
      <c r="M39" s="15">
        <f t="shared" si="1"/>
        <v>-2024.5</v>
      </c>
      <c r="N39" s="16"/>
    </row>
    <row r="40" spans="1:14">
      <c r="A40" s="2">
        <f t="shared" si="2"/>
        <v>2013</v>
      </c>
      <c r="B40" s="2" t="s">
        <v>3</v>
      </c>
      <c r="C40" s="15">
        <v>5833.9</v>
      </c>
      <c r="D40" s="15">
        <v>6994.4</v>
      </c>
      <c r="E40" s="15">
        <v>6.04</v>
      </c>
      <c r="F40" s="15">
        <v>165.1</v>
      </c>
      <c r="G40" s="15"/>
      <c r="H40" s="15">
        <f t="shared" si="0"/>
        <v>12999.44</v>
      </c>
      <c r="K40" s="15">
        <v>-2061.7000000000003</v>
      </c>
      <c r="L40" s="6">
        <v>0</v>
      </c>
      <c r="M40" s="15">
        <f t="shared" si="1"/>
        <v>-2061.7000000000003</v>
      </c>
      <c r="N40" s="16"/>
    </row>
    <row r="41" spans="1:14">
      <c r="A41" s="2">
        <f t="shared" si="2"/>
        <v>2013</v>
      </c>
      <c r="B41" s="2" t="s">
        <v>4</v>
      </c>
      <c r="C41" s="15">
        <v>3985.9</v>
      </c>
      <c r="D41" s="15">
        <v>8787.9</v>
      </c>
      <c r="E41" s="15">
        <v>6.04</v>
      </c>
      <c r="F41" s="15">
        <v>165.1</v>
      </c>
      <c r="G41" s="15"/>
      <c r="H41" s="15">
        <f t="shared" si="0"/>
        <v>12944.94</v>
      </c>
      <c r="K41" s="15">
        <v>-897.81848356242472</v>
      </c>
      <c r="L41" s="6">
        <v>0</v>
      </c>
      <c r="M41" s="15">
        <f t="shared" si="1"/>
        <v>-897.81848356242472</v>
      </c>
    </row>
    <row r="42" spans="1:14">
      <c r="A42" s="2">
        <f t="shared" si="2"/>
        <v>2013</v>
      </c>
      <c r="B42" s="2" t="s">
        <v>5</v>
      </c>
      <c r="C42" s="15">
        <v>4013.9</v>
      </c>
      <c r="D42" s="15">
        <v>9358.5</v>
      </c>
      <c r="E42" s="15">
        <v>6.04</v>
      </c>
      <c r="F42" s="15">
        <v>165.1</v>
      </c>
      <c r="G42" s="15"/>
      <c r="H42" s="15">
        <f t="shared" si="0"/>
        <v>13543.54</v>
      </c>
      <c r="K42" s="15">
        <v>-958.53399969006659</v>
      </c>
      <c r="L42" s="6">
        <v>0</v>
      </c>
      <c r="M42" s="15">
        <f t="shared" si="1"/>
        <v>-958.53399969006659</v>
      </c>
    </row>
    <row r="43" spans="1:14">
      <c r="A43" s="2">
        <f t="shared" si="2"/>
        <v>2013</v>
      </c>
      <c r="B43" s="2" t="s">
        <v>6</v>
      </c>
      <c r="C43" s="15">
        <v>4292.7</v>
      </c>
      <c r="D43" s="15">
        <v>8934.7000000000007</v>
      </c>
      <c r="E43" s="15">
        <v>6.04</v>
      </c>
      <c r="F43" s="15">
        <v>165.1</v>
      </c>
      <c r="G43" s="15"/>
      <c r="H43" s="15">
        <f t="shared" si="0"/>
        <v>13398.540000000003</v>
      </c>
      <c r="K43" s="15">
        <v>-969.31062398856659</v>
      </c>
      <c r="L43" s="6">
        <v>0</v>
      </c>
      <c r="M43" s="15">
        <f t="shared" si="1"/>
        <v>-969.31062398856659</v>
      </c>
    </row>
    <row r="44" spans="1:14">
      <c r="A44" s="2">
        <f t="shared" si="2"/>
        <v>2013</v>
      </c>
      <c r="B44" s="2" t="s">
        <v>7</v>
      </c>
      <c r="C44" s="15">
        <v>4424.1000000000004</v>
      </c>
      <c r="D44" s="15">
        <v>8962.7000000000007</v>
      </c>
      <c r="E44" s="15">
        <v>6.04</v>
      </c>
      <c r="F44" s="15">
        <v>165.1</v>
      </c>
      <c r="G44" s="15"/>
      <c r="H44" s="15">
        <f t="shared" si="0"/>
        <v>13557.940000000002</v>
      </c>
      <c r="K44" s="15">
        <v>-1086.7317498628634</v>
      </c>
      <c r="L44" s="6">
        <v>0</v>
      </c>
      <c r="M44" s="15">
        <f t="shared" si="1"/>
        <v>-1086.7317498628634</v>
      </c>
    </row>
    <row r="45" spans="1:14">
      <c r="A45" s="2">
        <f t="shared" si="2"/>
        <v>2013</v>
      </c>
      <c r="B45" s="2" t="s">
        <v>8</v>
      </c>
      <c r="C45" s="15">
        <v>3821.2000000000007</v>
      </c>
      <c r="D45" s="15">
        <v>9236</v>
      </c>
      <c r="E45" s="15">
        <v>6.04</v>
      </c>
      <c r="F45" s="15">
        <v>165.1</v>
      </c>
      <c r="G45" s="15"/>
      <c r="H45" s="15">
        <f t="shared" si="0"/>
        <v>13228.340000000002</v>
      </c>
      <c r="K45" s="15">
        <v>-963.76310653415487</v>
      </c>
      <c r="L45" s="6">
        <v>0</v>
      </c>
      <c r="M45" s="15">
        <f t="shared" si="1"/>
        <v>-963.76310653415487</v>
      </c>
    </row>
    <row r="46" spans="1:14">
      <c r="A46" s="2">
        <f t="shared" si="2"/>
        <v>2013</v>
      </c>
      <c r="B46" s="2" t="s">
        <v>9</v>
      </c>
      <c r="C46" s="15">
        <v>3817.3</v>
      </c>
      <c r="D46" s="15">
        <v>9329.7999999999993</v>
      </c>
      <c r="E46" s="15">
        <v>6.04</v>
      </c>
      <c r="F46" s="15">
        <v>165.1</v>
      </c>
      <c r="G46" s="15"/>
      <c r="H46" s="15">
        <f t="shared" si="0"/>
        <v>13318.24</v>
      </c>
      <c r="K46" s="15">
        <v>-953.31101912519921</v>
      </c>
      <c r="L46" s="6">
        <v>0</v>
      </c>
      <c r="M46" s="15">
        <f t="shared" si="1"/>
        <v>-953.31101912519921</v>
      </c>
    </row>
    <row r="47" spans="1:14">
      <c r="A47" s="2">
        <f t="shared" ref="A47:A78" si="3">A35+1</f>
        <v>2013</v>
      </c>
      <c r="B47" s="2" t="s">
        <v>10</v>
      </c>
      <c r="C47" s="15">
        <v>4222.1000000000004</v>
      </c>
      <c r="D47" s="15">
        <v>9178.2999999999993</v>
      </c>
      <c r="E47" s="15">
        <v>6.04</v>
      </c>
      <c r="F47" s="15">
        <v>165.1</v>
      </c>
      <c r="G47" s="15"/>
      <c r="H47" s="15">
        <f t="shared" si="0"/>
        <v>13571.54</v>
      </c>
      <c r="K47" s="15">
        <v>-972.36508527454248</v>
      </c>
      <c r="L47" s="6">
        <v>0</v>
      </c>
      <c r="M47" s="15">
        <f t="shared" si="1"/>
        <v>-972.36508527454248</v>
      </c>
    </row>
    <row r="48" spans="1:14">
      <c r="A48" s="2">
        <f t="shared" si="3"/>
        <v>2013</v>
      </c>
      <c r="B48" s="2" t="s">
        <v>11</v>
      </c>
      <c r="C48" s="15">
        <v>4051.9</v>
      </c>
      <c r="D48" s="15">
        <v>9276.2000000000007</v>
      </c>
      <c r="E48" s="15">
        <v>6.04</v>
      </c>
      <c r="F48" s="15">
        <v>165.1</v>
      </c>
      <c r="G48" s="15"/>
      <c r="H48" s="15">
        <f t="shared" si="0"/>
        <v>13499.240000000002</v>
      </c>
      <c r="K48" s="15">
        <v>-963.43419487899598</v>
      </c>
      <c r="L48" s="6">
        <v>0</v>
      </c>
      <c r="M48" s="15">
        <f t="shared" si="1"/>
        <v>-963.43419487899598</v>
      </c>
    </row>
    <row r="49" spans="1:13">
      <c r="A49" s="2">
        <f t="shared" si="3"/>
        <v>2013</v>
      </c>
      <c r="B49" s="2" t="s">
        <v>12</v>
      </c>
      <c r="C49" s="15">
        <v>3934.4</v>
      </c>
      <c r="D49" s="15">
        <v>8942.2999999999993</v>
      </c>
      <c r="E49" s="15">
        <v>6.04</v>
      </c>
      <c r="F49" s="15">
        <v>165.1</v>
      </c>
      <c r="G49" s="15"/>
      <c r="H49" s="15">
        <f t="shared" si="0"/>
        <v>13047.84</v>
      </c>
      <c r="K49" s="15">
        <v>-923.75694144544661</v>
      </c>
      <c r="L49" s="6">
        <v>0</v>
      </c>
      <c r="M49" s="15">
        <f t="shared" si="1"/>
        <v>-923.75694144544661</v>
      </c>
    </row>
    <row r="50" spans="1:13">
      <c r="A50" s="2">
        <f t="shared" si="3"/>
        <v>2013</v>
      </c>
      <c r="B50" s="2" t="s">
        <v>13</v>
      </c>
      <c r="C50" s="15">
        <v>4078</v>
      </c>
      <c r="D50" s="15">
        <v>9058.7000000000007</v>
      </c>
      <c r="E50" s="15">
        <v>6.04</v>
      </c>
      <c r="F50" s="15">
        <v>165.1</v>
      </c>
      <c r="G50" s="15"/>
      <c r="H50" s="15">
        <f t="shared" si="0"/>
        <v>13307.840000000002</v>
      </c>
      <c r="K50" s="15">
        <v>-925.17385901007071</v>
      </c>
      <c r="L50" s="6">
        <v>0</v>
      </c>
      <c r="M50" s="15">
        <f t="shared" si="1"/>
        <v>-925.17385901007071</v>
      </c>
    </row>
    <row r="51" spans="1:13">
      <c r="A51" s="2">
        <f t="shared" si="3"/>
        <v>2014</v>
      </c>
      <c r="B51" s="2" t="s">
        <v>2</v>
      </c>
      <c r="C51" s="15">
        <v>3938.4</v>
      </c>
      <c r="D51" s="15">
        <v>9286.2000000000007</v>
      </c>
      <c r="E51" s="15">
        <v>6.04</v>
      </c>
      <c r="F51" s="15">
        <v>165.01</v>
      </c>
      <c r="G51" s="15"/>
      <c r="H51" s="15">
        <f t="shared" si="0"/>
        <v>13395.650000000001</v>
      </c>
      <c r="K51" s="15">
        <v>-908.03515396909972</v>
      </c>
      <c r="L51" s="6">
        <v>0</v>
      </c>
      <c r="M51" s="15">
        <f t="shared" si="1"/>
        <v>-908.03515396909972</v>
      </c>
    </row>
    <row r="52" spans="1:13">
      <c r="A52" s="2">
        <f t="shared" si="3"/>
        <v>2014</v>
      </c>
      <c r="B52" s="2" t="s">
        <v>3</v>
      </c>
      <c r="C52" s="15">
        <v>4094.1000000000004</v>
      </c>
      <c r="D52" s="15">
        <v>9031.5</v>
      </c>
      <c r="E52" s="15">
        <v>6.0250000000000004</v>
      </c>
      <c r="F52" s="15">
        <v>165.3</v>
      </c>
      <c r="G52" s="15"/>
      <c r="H52" s="15">
        <f t="shared" si="0"/>
        <v>13296.924999999999</v>
      </c>
      <c r="K52" s="15">
        <v>-910.7206964904226</v>
      </c>
      <c r="L52" s="6">
        <v>0</v>
      </c>
      <c r="M52" s="15">
        <f t="shared" si="1"/>
        <v>-910.7206964904226</v>
      </c>
    </row>
    <row r="53" spans="1:13">
      <c r="A53" s="2">
        <f t="shared" si="3"/>
        <v>2014</v>
      </c>
      <c r="B53" s="2" t="s">
        <v>4</v>
      </c>
      <c r="C53" s="15">
        <v>4015.2</v>
      </c>
      <c r="D53" s="15">
        <v>9120.7000000000007</v>
      </c>
      <c r="E53" s="15">
        <v>5.8836111111111107</v>
      </c>
      <c r="F53" s="15">
        <v>165.3</v>
      </c>
      <c r="G53" s="15"/>
      <c r="H53" s="15">
        <f t="shared" si="0"/>
        <v>13307.083611111111</v>
      </c>
      <c r="K53" s="15">
        <v>-904.41826819535038</v>
      </c>
      <c r="L53" s="6">
        <v>0</v>
      </c>
      <c r="M53" s="15">
        <f t="shared" si="1"/>
        <v>-904.41826819535038</v>
      </c>
    </row>
    <row r="54" spans="1:13">
      <c r="A54" s="2">
        <f t="shared" si="3"/>
        <v>2014</v>
      </c>
      <c r="B54" s="2" t="s">
        <v>5</v>
      </c>
      <c r="C54" s="15">
        <v>3791.2</v>
      </c>
      <c r="D54" s="15">
        <v>9227.1</v>
      </c>
      <c r="E54" s="15">
        <v>5.8480000000000008</v>
      </c>
      <c r="F54" s="15">
        <v>165.3</v>
      </c>
      <c r="G54" s="15"/>
      <c r="H54" s="15">
        <f t="shared" si="0"/>
        <v>13189.447999999999</v>
      </c>
      <c r="K54" s="15">
        <v>-905.35242522857573</v>
      </c>
      <c r="L54" s="6">
        <v>0</v>
      </c>
      <c r="M54" s="15">
        <f t="shared" si="1"/>
        <v>-905.35242522857573</v>
      </c>
    </row>
    <row r="55" spans="1:13">
      <c r="A55" s="2">
        <f t="shared" si="3"/>
        <v>2014</v>
      </c>
      <c r="B55" s="2" t="s">
        <v>6</v>
      </c>
      <c r="C55" s="15">
        <v>3744.8</v>
      </c>
      <c r="D55" s="15">
        <v>9572.7000000000007</v>
      </c>
      <c r="E55" s="15">
        <v>5.8480000000000008</v>
      </c>
      <c r="F55" s="15">
        <v>165.3</v>
      </c>
      <c r="G55" s="15"/>
      <c r="H55" s="15">
        <f t="shared" si="0"/>
        <v>13488.647999999999</v>
      </c>
      <c r="K55" s="15">
        <v>-845.59238351442787</v>
      </c>
      <c r="L55" s="6">
        <v>0</v>
      </c>
      <c r="M55" s="15">
        <f t="shared" si="1"/>
        <v>-845.59238351442787</v>
      </c>
    </row>
    <row r="56" spans="1:13">
      <c r="A56" s="2">
        <f t="shared" si="3"/>
        <v>2014</v>
      </c>
      <c r="B56" s="2" t="s">
        <v>7</v>
      </c>
      <c r="C56" s="15">
        <v>3873.6000000000004</v>
      </c>
      <c r="D56" s="15">
        <v>9612.4</v>
      </c>
      <c r="E56" s="15">
        <v>5.8480000000000008</v>
      </c>
      <c r="F56" s="15">
        <v>165.3</v>
      </c>
      <c r="G56" s="15"/>
      <c r="H56" s="15">
        <f t="shared" si="0"/>
        <v>13657.147999999999</v>
      </c>
      <c r="K56" s="15">
        <v>-951.50744925946242</v>
      </c>
      <c r="L56" s="6">
        <v>0</v>
      </c>
      <c r="M56" s="15">
        <f t="shared" si="1"/>
        <v>-951.50744925946242</v>
      </c>
    </row>
    <row r="57" spans="1:13">
      <c r="A57" s="2">
        <f t="shared" si="3"/>
        <v>2014</v>
      </c>
      <c r="B57" s="2" t="s">
        <v>8</v>
      </c>
      <c r="C57" s="15">
        <v>3717.8999999999996</v>
      </c>
      <c r="D57" s="15">
        <v>9392.7999999999993</v>
      </c>
      <c r="E57" s="15">
        <v>5.8480000000000008</v>
      </c>
      <c r="F57" s="15">
        <v>165.3</v>
      </c>
      <c r="G57" s="15"/>
      <c r="H57" s="15">
        <f t="shared" si="0"/>
        <v>13281.847999999998</v>
      </c>
      <c r="K57" s="15">
        <v>-937.70932005216514</v>
      </c>
      <c r="L57" s="6">
        <v>0</v>
      </c>
      <c r="M57" s="15">
        <f t="shared" si="1"/>
        <v>-937.70932005216514</v>
      </c>
    </row>
    <row r="58" spans="1:13">
      <c r="A58" s="2">
        <f t="shared" si="3"/>
        <v>2014</v>
      </c>
      <c r="B58" s="2" t="s">
        <v>9</v>
      </c>
      <c r="C58" s="15">
        <v>3727.3999999999996</v>
      </c>
      <c r="D58" s="15">
        <v>9315.7999999999993</v>
      </c>
      <c r="E58" s="15">
        <v>5.8480000000000008</v>
      </c>
      <c r="F58" s="15">
        <v>165.3</v>
      </c>
      <c r="G58" s="15"/>
      <c r="H58" s="15">
        <f t="shared" si="0"/>
        <v>13214.347999999998</v>
      </c>
      <c r="K58" s="15">
        <v>-930.85989906144846</v>
      </c>
      <c r="L58" s="6">
        <v>0</v>
      </c>
      <c r="M58" s="15">
        <f t="shared" si="1"/>
        <v>-930.85989906144846</v>
      </c>
    </row>
    <row r="59" spans="1:13">
      <c r="A59" s="2">
        <f t="shared" si="3"/>
        <v>2014</v>
      </c>
      <c r="B59" s="2" t="s">
        <v>10</v>
      </c>
      <c r="C59" s="15">
        <v>4249.0999999999995</v>
      </c>
      <c r="D59" s="15">
        <v>9530</v>
      </c>
      <c r="E59" s="15">
        <v>5.8480000000000008</v>
      </c>
      <c r="F59" s="15">
        <v>165.3</v>
      </c>
      <c r="G59" s="15"/>
      <c r="H59" s="15">
        <f t="shared" si="0"/>
        <v>13950.247999999998</v>
      </c>
      <c r="K59" s="15">
        <v>-978.58328410981687</v>
      </c>
      <c r="L59" s="6">
        <v>0</v>
      </c>
      <c r="M59" s="15">
        <f t="shared" si="1"/>
        <v>-978.58328410981687</v>
      </c>
    </row>
    <row r="60" spans="1:13">
      <c r="A60" s="2">
        <f t="shared" si="3"/>
        <v>2014</v>
      </c>
      <c r="B60" s="2" t="s">
        <v>11</v>
      </c>
      <c r="C60" s="15">
        <v>3905.7</v>
      </c>
      <c r="D60" s="15">
        <v>9298.7999999999993</v>
      </c>
      <c r="E60" s="15">
        <v>5.8480000000000008</v>
      </c>
      <c r="F60" s="15">
        <v>165.3</v>
      </c>
      <c r="G60" s="15"/>
      <c r="H60" s="15">
        <f t="shared" si="0"/>
        <v>13375.647999999999</v>
      </c>
      <c r="K60" s="15">
        <v>-928.67171819119278</v>
      </c>
      <c r="L60" s="6">
        <v>0</v>
      </c>
      <c r="M60" s="15">
        <f t="shared" si="1"/>
        <v>-928.67171819119278</v>
      </c>
    </row>
    <row r="61" spans="1:13">
      <c r="A61" s="2">
        <f t="shared" si="3"/>
        <v>2014</v>
      </c>
      <c r="B61" s="2" t="s">
        <v>12</v>
      </c>
      <c r="C61" s="15">
        <v>4549</v>
      </c>
      <c r="D61" s="15">
        <v>8285.2999999999993</v>
      </c>
      <c r="E61" s="15">
        <v>5.8480000000000008</v>
      </c>
      <c r="F61" s="15">
        <v>165.3</v>
      </c>
      <c r="G61" s="15"/>
      <c r="H61" s="15">
        <f t="shared" si="0"/>
        <v>13005.447999999999</v>
      </c>
      <c r="K61" s="15">
        <v>-1068.0587450781152</v>
      </c>
      <c r="L61" s="6">
        <v>0</v>
      </c>
      <c r="M61" s="15">
        <f t="shared" si="1"/>
        <v>-1068.0587450781152</v>
      </c>
    </row>
    <row r="62" spans="1:13">
      <c r="A62" s="2">
        <f t="shared" si="3"/>
        <v>2014</v>
      </c>
      <c r="B62" s="2" t="s">
        <v>13</v>
      </c>
      <c r="C62" s="15">
        <v>4667</v>
      </c>
      <c r="D62" s="15">
        <v>8008.8</v>
      </c>
      <c r="E62" s="15">
        <v>5.8480000000000008</v>
      </c>
      <c r="F62" s="15">
        <v>165.3</v>
      </c>
      <c r="G62" s="15"/>
      <c r="H62" s="15">
        <f t="shared" si="0"/>
        <v>12846.947999999999</v>
      </c>
      <c r="K62" s="15">
        <v>-1058.8</v>
      </c>
      <c r="L62" s="6">
        <v>0</v>
      </c>
      <c r="M62" s="15">
        <f t="shared" si="1"/>
        <v>-1058.8</v>
      </c>
    </row>
    <row r="63" spans="1:13">
      <c r="A63" s="2">
        <f t="shared" si="3"/>
        <v>2015</v>
      </c>
      <c r="B63" s="2" t="s">
        <v>2</v>
      </c>
      <c r="C63" s="15">
        <v>4692.5</v>
      </c>
      <c r="D63" s="15">
        <v>8163.4</v>
      </c>
      <c r="E63" s="15">
        <v>5.8480000000000008</v>
      </c>
      <c r="F63" s="15">
        <v>165.3</v>
      </c>
      <c r="G63" s="15"/>
      <c r="H63" s="15">
        <f t="shared" si="0"/>
        <v>13027.047999999999</v>
      </c>
      <c r="K63" s="15">
        <v>-1081.9000000000001</v>
      </c>
      <c r="L63" s="6">
        <v>0</v>
      </c>
      <c r="M63" s="15">
        <f t="shared" si="1"/>
        <v>-1081.9000000000001</v>
      </c>
    </row>
    <row r="64" spans="1:13">
      <c r="A64" s="2">
        <f t="shared" si="3"/>
        <v>2015</v>
      </c>
      <c r="B64" s="2" t="s">
        <v>3</v>
      </c>
      <c r="C64" s="15">
        <v>4792.6000000000004</v>
      </c>
      <c r="D64" s="15">
        <v>8121.3</v>
      </c>
      <c r="E64" s="15">
        <v>5.8480000000000008</v>
      </c>
      <c r="F64" s="15">
        <v>165.3</v>
      </c>
      <c r="G64" s="15"/>
      <c r="H64" s="15">
        <f t="shared" si="0"/>
        <v>13085.048000000001</v>
      </c>
      <c r="K64" s="15">
        <v>-1066.0999999999999</v>
      </c>
      <c r="L64" s="6">
        <v>0</v>
      </c>
      <c r="M64" s="15">
        <f t="shared" si="1"/>
        <v>-1066.0999999999999</v>
      </c>
    </row>
    <row r="65" spans="1:13">
      <c r="A65" s="2">
        <f t="shared" si="3"/>
        <v>2015</v>
      </c>
      <c r="B65" s="2" t="s">
        <v>4</v>
      </c>
      <c r="C65" s="15">
        <v>4736.1000000000004</v>
      </c>
      <c r="D65" s="15">
        <v>8109.2</v>
      </c>
      <c r="E65" s="15">
        <v>5.8480000000000008</v>
      </c>
      <c r="F65" s="15">
        <v>165.3</v>
      </c>
      <c r="G65" s="15"/>
      <c r="H65" s="15">
        <f t="shared" si="0"/>
        <v>13016.447999999999</v>
      </c>
      <c r="K65" s="15">
        <v>-1066.8</v>
      </c>
      <c r="L65" s="6">
        <v>0</v>
      </c>
      <c r="M65" s="15">
        <f t="shared" si="1"/>
        <v>-1066.8</v>
      </c>
    </row>
    <row r="66" spans="1:13">
      <c r="A66" s="2">
        <f t="shared" si="3"/>
        <v>2015</v>
      </c>
      <c r="B66" s="2" t="s">
        <v>5</v>
      </c>
      <c r="C66" s="15">
        <v>4517.1000000000004</v>
      </c>
      <c r="D66" s="15">
        <v>8249.7000000000007</v>
      </c>
      <c r="E66" s="15">
        <v>5.8480000000000008</v>
      </c>
      <c r="F66" s="15">
        <v>165.3</v>
      </c>
      <c r="G66" s="15"/>
      <c r="H66" s="15">
        <f t="shared" si="0"/>
        <v>12937.948</v>
      </c>
      <c r="K66" s="15">
        <v>-1078.7</v>
      </c>
      <c r="L66" s="6">
        <v>0</v>
      </c>
      <c r="M66" s="15">
        <f t="shared" si="1"/>
        <v>-1078.7</v>
      </c>
    </row>
    <row r="67" spans="1:13">
      <c r="A67" s="2">
        <f t="shared" si="3"/>
        <v>2015</v>
      </c>
      <c r="B67" s="2" t="s">
        <v>6</v>
      </c>
      <c r="C67" s="15">
        <v>4758.1000000000004</v>
      </c>
      <c r="D67" s="15">
        <v>8531</v>
      </c>
      <c r="E67" s="15">
        <v>5.8480000000000008</v>
      </c>
      <c r="F67" s="15">
        <v>165.3</v>
      </c>
      <c r="G67" s="15"/>
      <c r="H67" s="15">
        <f t="shared" si="0"/>
        <v>13460.248</v>
      </c>
      <c r="K67" s="15">
        <v>-1074.3999999999999</v>
      </c>
      <c r="L67" s="6">
        <v>0</v>
      </c>
      <c r="M67" s="15">
        <f t="shared" si="1"/>
        <v>-1074.3999999999999</v>
      </c>
    </row>
    <row r="68" spans="1:13">
      <c r="A68" s="2">
        <f t="shared" si="3"/>
        <v>2015</v>
      </c>
      <c r="B68" s="2" t="s">
        <v>7</v>
      </c>
      <c r="C68" s="15">
        <v>4557.5</v>
      </c>
      <c r="D68" s="15">
        <v>8720.2999999999993</v>
      </c>
      <c r="E68" s="15">
        <v>5.8480000000000008</v>
      </c>
      <c r="F68" s="15">
        <v>165.3</v>
      </c>
      <c r="G68" s="15"/>
      <c r="H68" s="15">
        <f t="shared" ref="H68:H122" si="4">SUM(C68:F68)</f>
        <v>13448.947999999999</v>
      </c>
      <c r="K68" s="15">
        <v>-1119.5</v>
      </c>
      <c r="L68" s="6">
        <v>0</v>
      </c>
      <c r="M68" s="15">
        <f t="shared" ref="M68:M122" si="5">SUM(K68:L68)</f>
        <v>-1119.5</v>
      </c>
    </row>
    <row r="69" spans="1:13">
      <c r="A69" s="2">
        <f t="shared" si="3"/>
        <v>2015</v>
      </c>
      <c r="B69" s="2" t="s">
        <v>8</v>
      </c>
      <c r="C69" s="15">
        <v>4447.4000000000005</v>
      </c>
      <c r="D69" s="15">
        <v>8628.7999999999993</v>
      </c>
      <c r="E69" s="15">
        <v>5.8480000000000008</v>
      </c>
      <c r="F69" s="15">
        <v>165.3</v>
      </c>
      <c r="G69" s="15"/>
      <c r="H69" s="15">
        <f t="shared" si="4"/>
        <v>13247.348</v>
      </c>
      <c r="K69" s="15">
        <v>-1121.7</v>
      </c>
      <c r="L69" s="6">
        <v>0</v>
      </c>
      <c r="M69" s="15">
        <f t="shared" si="5"/>
        <v>-1121.7</v>
      </c>
    </row>
    <row r="70" spans="1:13">
      <c r="A70" s="2">
        <f t="shared" si="3"/>
        <v>2015</v>
      </c>
      <c r="B70" s="2" t="s">
        <v>9</v>
      </c>
      <c r="C70" s="15">
        <v>4517.6000000000004</v>
      </c>
      <c r="D70" s="15">
        <v>8498</v>
      </c>
      <c r="E70" s="15">
        <v>5.8480000000000008</v>
      </c>
      <c r="F70" s="15">
        <v>165.3</v>
      </c>
      <c r="G70" s="15"/>
      <c r="H70" s="15">
        <f t="shared" si="4"/>
        <v>13186.748</v>
      </c>
      <c r="K70" s="15">
        <v>-1128.2</v>
      </c>
      <c r="L70" s="6">
        <v>0</v>
      </c>
      <c r="M70" s="15">
        <f t="shared" si="5"/>
        <v>-1128.2</v>
      </c>
    </row>
    <row r="71" spans="1:13">
      <c r="A71" s="2">
        <f t="shared" si="3"/>
        <v>2015</v>
      </c>
      <c r="B71" s="2" t="s">
        <v>10</v>
      </c>
      <c r="C71" s="15">
        <v>4808</v>
      </c>
      <c r="D71" s="15">
        <v>8688.5</v>
      </c>
      <c r="E71" s="15">
        <v>5.8480000000000008</v>
      </c>
      <c r="F71" s="15">
        <v>165.3</v>
      </c>
      <c r="G71" s="15"/>
      <c r="H71" s="15">
        <f t="shared" si="4"/>
        <v>13667.647999999999</v>
      </c>
      <c r="K71" s="15">
        <v>-1107.3</v>
      </c>
      <c r="L71" s="6">
        <v>0</v>
      </c>
      <c r="M71" s="15">
        <f t="shared" si="5"/>
        <v>-1107.3</v>
      </c>
    </row>
    <row r="72" spans="1:13">
      <c r="A72" s="2">
        <f t="shared" si="3"/>
        <v>2015</v>
      </c>
      <c r="B72" s="2" t="s">
        <v>11</v>
      </c>
      <c r="C72" s="15">
        <v>4557.7000000000007</v>
      </c>
      <c r="D72" s="15">
        <v>7976.3</v>
      </c>
      <c r="E72" s="15">
        <v>5.8480000000000008</v>
      </c>
      <c r="F72" s="15">
        <v>165.3</v>
      </c>
      <c r="G72" s="15"/>
      <c r="H72" s="15">
        <f t="shared" si="4"/>
        <v>12705.147999999999</v>
      </c>
      <c r="K72" s="15">
        <v>-1083.7</v>
      </c>
      <c r="L72" s="6">
        <v>0</v>
      </c>
      <c r="M72" s="15">
        <f t="shared" si="5"/>
        <v>-1083.7</v>
      </c>
    </row>
    <row r="73" spans="1:13">
      <c r="A73" s="2">
        <f t="shared" si="3"/>
        <v>2015</v>
      </c>
      <c r="B73" s="2" t="s">
        <v>12</v>
      </c>
      <c r="C73" s="15">
        <v>4723.7999999999993</v>
      </c>
      <c r="D73" s="15">
        <v>8013.9</v>
      </c>
      <c r="E73" s="15">
        <v>5.8480000000000008</v>
      </c>
      <c r="F73" s="15">
        <v>165.3</v>
      </c>
      <c r="G73" s="15"/>
      <c r="H73" s="15">
        <f t="shared" si="4"/>
        <v>12908.847999999998</v>
      </c>
      <c r="K73" s="15">
        <v>-1109.0999999999999</v>
      </c>
      <c r="L73" s="6">
        <v>0</v>
      </c>
      <c r="M73" s="15">
        <f t="shared" si="5"/>
        <v>-1109.0999999999999</v>
      </c>
    </row>
    <row r="74" spans="1:13">
      <c r="A74" s="2">
        <f t="shared" si="3"/>
        <v>2015</v>
      </c>
      <c r="B74" s="2" t="s">
        <v>13</v>
      </c>
      <c r="C74" s="15">
        <v>4669.8</v>
      </c>
      <c r="D74" s="15">
        <v>7867</v>
      </c>
      <c r="E74" s="15">
        <v>5.3460000000000001</v>
      </c>
      <c r="F74" s="15">
        <v>165.3</v>
      </c>
      <c r="G74" s="15"/>
      <c r="H74" s="15">
        <f t="shared" si="4"/>
        <v>12707.445999999998</v>
      </c>
      <c r="K74" s="15">
        <v>-1094.9000000000001</v>
      </c>
      <c r="L74" s="6">
        <v>0</v>
      </c>
      <c r="M74" s="15">
        <f t="shared" si="5"/>
        <v>-1094.9000000000001</v>
      </c>
    </row>
    <row r="75" spans="1:13">
      <c r="A75" s="2">
        <f t="shared" si="3"/>
        <v>2016</v>
      </c>
      <c r="B75" s="2" t="s">
        <v>2</v>
      </c>
      <c r="C75" s="15">
        <v>4662.5</v>
      </c>
      <c r="D75" s="15">
        <v>7743.8</v>
      </c>
      <c r="E75" s="15">
        <v>5.218</v>
      </c>
      <c r="F75" s="15">
        <v>165.3</v>
      </c>
      <c r="G75" s="15"/>
      <c r="H75" s="15">
        <f t="shared" si="4"/>
        <v>12576.817999999999</v>
      </c>
      <c r="K75" s="15">
        <v>-1062</v>
      </c>
      <c r="L75" s="6">
        <v>0</v>
      </c>
      <c r="M75" s="15">
        <f t="shared" si="5"/>
        <v>-1062</v>
      </c>
    </row>
    <row r="76" spans="1:13">
      <c r="A76" s="2">
        <f t="shared" si="3"/>
        <v>2016</v>
      </c>
      <c r="B76" s="2" t="s">
        <v>3</v>
      </c>
      <c r="C76" s="15">
        <v>4803.2</v>
      </c>
      <c r="D76" s="15">
        <v>7683.9</v>
      </c>
      <c r="E76" s="15">
        <v>5.218</v>
      </c>
      <c r="F76" s="15">
        <v>165.3</v>
      </c>
      <c r="G76" s="15"/>
      <c r="H76" s="15">
        <f t="shared" si="4"/>
        <v>12657.617999999999</v>
      </c>
      <c r="K76" s="15">
        <v>-1032.3</v>
      </c>
      <c r="L76" s="6">
        <v>0</v>
      </c>
      <c r="M76" s="15">
        <f t="shared" si="5"/>
        <v>-1032.3</v>
      </c>
    </row>
    <row r="77" spans="1:13">
      <c r="A77" s="2">
        <f t="shared" si="3"/>
        <v>2016</v>
      </c>
      <c r="B77" s="2" t="s">
        <v>4</v>
      </c>
      <c r="C77" s="15">
        <v>4715.3</v>
      </c>
      <c r="D77" s="15">
        <v>7777.3</v>
      </c>
      <c r="E77" s="15">
        <v>5.218</v>
      </c>
      <c r="F77" s="15">
        <v>165.3</v>
      </c>
      <c r="G77" s="15"/>
      <c r="H77" s="15">
        <f t="shared" si="4"/>
        <v>12663.118</v>
      </c>
      <c r="K77" s="15">
        <v>-1049.5</v>
      </c>
      <c r="L77" s="6">
        <v>0</v>
      </c>
      <c r="M77" s="15">
        <f t="shared" si="5"/>
        <v>-1049.5</v>
      </c>
    </row>
    <row r="78" spans="1:13">
      <c r="A78" s="2">
        <f t="shared" si="3"/>
        <v>2016</v>
      </c>
      <c r="B78" s="2" t="s">
        <v>5</v>
      </c>
      <c r="C78" s="15">
        <v>4666.7999999999993</v>
      </c>
      <c r="D78" s="15">
        <v>7874.4</v>
      </c>
      <c r="E78" s="15">
        <v>5.2393333333333336</v>
      </c>
      <c r="F78" s="15">
        <v>165.3</v>
      </c>
      <c r="G78" s="15"/>
      <c r="H78" s="15">
        <f t="shared" si="4"/>
        <v>12711.739333333331</v>
      </c>
      <c r="K78" s="15">
        <v>-1072.5999999999999</v>
      </c>
      <c r="L78" s="6">
        <v>0</v>
      </c>
      <c r="M78" s="15">
        <f t="shared" si="5"/>
        <v>-1072.5999999999999</v>
      </c>
    </row>
    <row r="79" spans="1:13">
      <c r="A79" s="2">
        <f t="shared" ref="A79:A110" si="6">A67+1</f>
        <v>2016</v>
      </c>
      <c r="B79" s="2" t="s">
        <v>6</v>
      </c>
      <c r="C79" s="15">
        <v>4698.7000000000007</v>
      </c>
      <c r="D79" s="15">
        <v>7876.4</v>
      </c>
      <c r="E79" s="15">
        <v>5.218</v>
      </c>
      <c r="F79" s="15">
        <v>165.3</v>
      </c>
      <c r="G79" s="15"/>
      <c r="H79" s="15">
        <f t="shared" si="4"/>
        <v>12745.618</v>
      </c>
      <c r="K79" s="15">
        <v>-1071.5999999999999</v>
      </c>
      <c r="L79" s="6">
        <v>0</v>
      </c>
      <c r="M79" s="15">
        <f t="shared" si="5"/>
        <v>-1071.5999999999999</v>
      </c>
    </row>
    <row r="80" spans="1:13">
      <c r="A80" s="2">
        <f t="shared" si="6"/>
        <v>2016</v>
      </c>
      <c r="B80" s="2" t="s">
        <v>7</v>
      </c>
      <c r="C80" s="15">
        <v>4235.8999999999996</v>
      </c>
      <c r="D80" s="15">
        <v>8172.5</v>
      </c>
      <c r="E80" s="15">
        <v>5.218</v>
      </c>
      <c r="F80" s="15">
        <v>165.3</v>
      </c>
      <c r="G80" s="15"/>
      <c r="H80" s="15">
        <f t="shared" si="4"/>
        <v>12578.918</v>
      </c>
      <c r="K80" s="15">
        <v>-1051.1000000000001</v>
      </c>
      <c r="L80" s="6">
        <v>0</v>
      </c>
      <c r="M80" s="15">
        <f t="shared" si="5"/>
        <v>-1051.1000000000001</v>
      </c>
    </row>
    <row r="81" spans="1:13">
      <c r="A81" s="2">
        <f t="shared" si="6"/>
        <v>2016</v>
      </c>
      <c r="B81" s="2" t="s">
        <v>8</v>
      </c>
      <c r="C81" s="15">
        <v>4363.3999999999996</v>
      </c>
      <c r="D81" s="15">
        <v>8298.7999999999993</v>
      </c>
      <c r="E81" s="15">
        <v>5.218</v>
      </c>
      <c r="F81" s="15">
        <v>165.4</v>
      </c>
      <c r="G81" s="15"/>
      <c r="H81" s="15">
        <f t="shared" si="4"/>
        <v>12832.817999999999</v>
      </c>
      <c r="K81" s="15">
        <v>-1008.1999999999999</v>
      </c>
      <c r="L81" s="6">
        <v>0</v>
      </c>
      <c r="M81" s="15">
        <f t="shared" si="5"/>
        <v>-1008.1999999999999</v>
      </c>
    </row>
    <row r="82" spans="1:13">
      <c r="A82" s="2">
        <f t="shared" si="6"/>
        <v>2016</v>
      </c>
      <c r="B82" s="2" t="s">
        <v>9</v>
      </c>
      <c r="C82" s="15">
        <v>4584.8</v>
      </c>
      <c r="D82" s="15">
        <v>8286.6</v>
      </c>
      <c r="E82" s="15">
        <v>5.218</v>
      </c>
      <c r="F82" s="15">
        <v>165.4</v>
      </c>
      <c r="G82" s="15"/>
      <c r="H82" s="15">
        <f t="shared" si="4"/>
        <v>13042.018000000002</v>
      </c>
      <c r="K82" s="15">
        <v>-1026.8</v>
      </c>
      <c r="L82" s="6">
        <v>0</v>
      </c>
      <c r="M82" s="15">
        <f t="shared" si="5"/>
        <v>-1026.8</v>
      </c>
    </row>
    <row r="83" spans="1:13">
      <c r="A83" s="2">
        <f t="shared" si="6"/>
        <v>2016</v>
      </c>
      <c r="B83" s="2" t="s">
        <v>10</v>
      </c>
      <c r="C83" s="15">
        <v>4857.7999999999993</v>
      </c>
      <c r="D83" s="15">
        <v>8425.2000000000007</v>
      </c>
      <c r="E83" s="15">
        <v>5.218</v>
      </c>
      <c r="F83" s="15">
        <v>165.4</v>
      </c>
      <c r="G83" s="15"/>
      <c r="H83" s="15">
        <f t="shared" si="4"/>
        <v>13453.618</v>
      </c>
      <c r="K83" s="15">
        <v>-1000.0999999999999</v>
      </c>
      <c r="L83" s="6">
        <v>0</v>
      </c>
      <c r="M83" s="15">
        <f t="shared" si="5"/>
        <v>-1000.0999999999999</v>
      </c>
    </row>
    <row r="84" spans="1:13">
      <c r="A84" s="2">
        <f t="shared" si="6"/>
        <v>2016</v>
      </c>
      <c r="B84" s="2" t="s">
        <v>11</v>
      </c>
      <c r="C84" s="15">
        <v>4709</v>
      </c>
      <c r="D84" s="15">
        <v>8429.7000000000007</v>
      </c>
      <c r="E84" s="15">
        <v>5.1539999999999999</v>
      </c>
      <c r="F84" s="15">
        <v>165.4</v>
      </c>
      <c r="G84" s="15"/>
      <c r="H84" s="15">
        <f t="shared" si="4"/>
        <v>13309.254000000001</v>
      </c>
      <c r="K84" s="15">
        <v>-993</v>
      </c>
      <c r="L84" s="6">
        <v>0</v>
      </c>
      <c r="M84" s="15">
        <f t="shared" si="5"/>
        <v>-993</v>
      </c>
    </row>
    <row r="85" spans="1:13">
      <c r="A85" s="2">
        <f t="shared" si="6"/>
        <v>2016</v>
      </c>
      <c r="B85" s="2" t="s">
        <v>12</v>
      </c>
      <c r="C85" s="15">
        <v>4521.1000000000004</v>
      </c>
      <c r="D85" s="15">
        <v>8141.1</v>
      </c>
      <c r="E85" s="15">
        <v>4.5779999999999994</v>
      </c>
      <c r="F85" s="15">
        <v>165.4</v>
      </c>
      <c r="G85" s="15"/>
      <c r="H85" s="15">
        <f t="shared" si="4"/>
        <v>12832.178</v>
      </c>
      <c r="K85" s="15">
        <v>-974.40000000000009</v>
      </c>
      <c r="L85" s="6">
        <v>0</v>
      </c>
      <c r="M85" s="15">
        <f t="shared" si="5"/>
        <v>-974.40000000000009</v>
      </c>
    </row>
    <row r="86" spans="1:13">
      <c r="A86" s="2">
        <f t="shared" si="6"/>
        <v>2016</v>
      </c>
      <c r="B86" s="2" t="s">
        <v>13</v>
      </c>
      <c r="C86" s="15">
        <v>4617.3999999999996</v>
      </c>
      <c r="D86" s="15">
        <v>8108.4</v>
      </c>
      <c r="E86" s="15">
        <v>4.5540000000000003</v>
      </c>
      <c r="F86" s="15">
        <v>165.4</v>
      </c>
      <c r="G86" s="15"/>
      <c r="H86" s="15">
        <f t="shared" si="4"/>
        <v>12895.753999999999</v>
      </c>
      <c r="K86" s="15">
        <v>-1000.5</v>
      </c>
      <c r="L86" s="6">
        <v>0</v>
      </c>
      <c r="M86" s="15">
        <f t="shared" si="5"/>
        <v>-1000.5</v>
      </c>
    </row>
    <row r="87" spans="1:13">
      <c r="A87" s="2">
        <f t="shared" si="6"/>
        <v>2017</v>
      </c>
      <c r="B87" s="2" t="s">
        <v>2</v>
      </c>
      <c r="C87" s="15">
        <v>4576.8</v>
      </c>
      <c r="D87" s="15">
        <v>7956</v>
      </c>
      <c r="E87" s="15">
        <v>4.5540000000000003</v>
      </c>
      <c r="F87" s="15">
        <v>160.80000000000001</v>
      </c>
      <c r="G87" s="15"/>
      <c r="H87" s="15">
        <f t="shared" si="4"/>
        <v>12698.153999999999</v>
      </c>
      <c r="K87" s="15">
        <v>-998.56999999999994</v>
      </c>
      <c r="L87" s="6">
        <v>0</v>
      </c>
      <c r="M87" s="15">
        <f t="shared" si="5"/>
        <v>-998.56999999999994</v>
      </c>
    </row>
    <row r="88" spans="1:13">
      <c r="A88" s="2">
        <f t="shared" si="6"/>
        <v>2017</v>
      </c>
      <c r="B88" s="2" t="s">
        <v>3</v>
      </c>
      <c r="C88" s="15">
        <v>4446.8</v>
      </c>
      <c r="D88" s="15">
        <v>7822.4</v>
      </c>
      <c r="E88" s="15">
        <v>4.5540000000000003</v>
      </c>
      <c r="F88" s="15">
        <v>160.80000000000001</v>
      </c>
      <c r="G88" s="15"/>
      <c r="H88" s="15">
        <f t="shared" si="4"/>
        <v>12434.554</v>
      </c>
      <c r="K88" s="15">
        <v>-992.59999999999991</v>
      </c>
      <c r="L88" s="6">
        <v>0</v>
      </c>
      <c r="M88" s="15">
        <f t="shared" si="5"/>
        <v>-992.59999999999991</v>
      </c>
    </row>
    <row r="89" spans="1:13">
      <c r="A89" s="2">
        <f t="shared" si="6"/>
        <v>2017</v>
      </c>
      <c r="B89" s="2" t="s">
        <v>4</v>
      </c>
      <c r="C89" s="15">
        <v>4529.3999999999996</v>
      </c>
      <c r="D89" s="15">
        <v>7796.1</v>
      </c>
      <c r="E89" s="15">
        <v>4.5540000000000003</v>
      </c>
      <c r="F89" s="15">
        <v>160.80000000000001</v>
      </c>
      <c r="G89" s="15"/>
      <c r="H89" s="15">
        <f t="shared" si="4"/>
        <v>12490.853999999999</v>
      </c>
      <c r="K89" s="15">
        <v>-1020.7</v>
      </c>
      <c r="L89" s="6">
        <v>0</v>
      </c>
      <c r="M89" s="15">
        <f t="shared" si="5"/>
        <v>-1020.7</v>
      </c>
    </row>
    <row r="90" spans="1:13">
      <c r="A90" s="2">
        <f t="shared" si="6"/>
        <v>2017</v>
      </c>
      <c r="B90" s="2" t="s">
        <v>5</v>
      </c>
      <c r="C90" s="15">
        <v>4362.3999999999996</v>
      </c>
      <c r="D90" s="15">
        <v>8148</v>
      </c>
      <c r="E90" s="15">
        <v>4.5540000000000003</v>
      </c>
      <c r="F90" s="15">
        <v>160.80000000000001</v>
      </c>
      <c r="G90" s="15"/>
      <c r="H90" s="15">
        <f t="shared" si="4"/>
        <v>12675.753999999999</v>
      </c>
      <c r="K90" s="15">
        <v>-973</v>
      </c>
      <c r="L90" s="6">
        <v>0</v>
      </c>
      <c r="M90" s="15">
        <f t="shared" si="5"/>
        <v>-973</v>
      </c>
    </row>
    <row r="91" spans="1:13">
      <c r="A91" s="2">
        <f t="shared" si="6"/>
        <v>2017</v>
      </c>
      <c r="B91" s="2" t="s">
        <v>6</v>
      </c>
      <c r="C91" s="15">
        <v>4284.6000000000004</v>
      </c>
      <c r="D91" s="15">
        <v>8242.2000000000007</v>
      </c>
      <c r="E91" s="15">
        <v>4.5540000000000003</v>
      </c>
      <c r="F91" s="15">
        <v>160.80000000000001</v>
      </c>
      <c r="G91" s="15"/>
      <c r="H91" s="15">
        <f t="shared" si="4"/>
        <v>12692.154</v>
      </c>
      <c r="K91" s="15">
        <v>-949.7</v>
      </c>
      <c r="L91" s="6">
        <v>0</v>
      </c>
      <c r="M91" s="15">
        <f t="shared" si="5"/>
        <v>-949.7</v>
      </c>
    </row>
    <row r="92" spans="1:13">
      <c r="A92" s="2">
        <f t="shared" si="6"/>
        <v>2017</v>
      </c>
      <c r="B92" s="2" t="s">
        <v>7</v>
      </c>
      <c r="C92" s="15">
        <v>4567.8999999999996</v>
      </c>
      <c r="D92" s="15">
        <v>8457</v>
      </c>
      <c r="E92" s="15">
        <v>4.5540000000000003</v>
      </c>
      <c r="F92" s="15">
        <v>160.80000000000001</v>
      </c>
      <c r="G92" s="15"/>
      <c r="H92" s="15">
        <f t="shared" si="4"/>
        <v>13190.253999999999</v>
      </c>
      <c r="K92" s="15">
        <v>-967.2</v>
      </c>
      <c r="L92" s="6">
        <v>0</v>
      </c>
      <c r="M92" s="15">
        <f t="shared" si="5"/>
        <v>-967.2</v>
      </c>
    </row>
    <row r="93" spans="1:13">
      <c r="A93" s="2">
        <f t="shared" si="6"/>
        <v>2017</v>
      </c>
      <c r="B93" s="2" t="s">
        <v>8</v>
      </c>
      <c r="C93" s="15">
        <v>4368.7</v>
      </c>
      <c r="D93" s="15">
        <v>8516.7999999999993</v>
      </c>
      <c r="E93" s="15">
        <v>4.5540000000000003</v>
      </c>
      <c r="F93" s="15">
        <v>160.80000000000001</v>
      </c>
      <c r="G93" s="15"/>
      <c r="H93" s="15">
        <f t="shared" si="4"/>
        <v>13050.853999999999</v>
      </c>
      <c r="K93" s="15">
        <v>-1021</v>
      </c>
      <c r="L93" s="6">
        <v>0</v>
      </c>
      <c r="M93" s="15">
        <f t="shared" si="5"/>
        <v>-1021</v>
      </c>
    </row>
    <row r="94" spans="1:13">
      <c r="A94" s="2">
        <f t="shared" si="6"/>
        <v>2017</v>
      </c>
      <c r="B94" s="2" t="s">
        <v>9</v>
      </c>
      <c r="C94" s="15">
        <v>4323.7</v>
      </c>
      <c r="D94" s="15">
        <v>8686.9</v>
      </c>
      <c r="E94" s="15">
        <v>4.5540000000000003</v>
      </c>
      <c r="F94" s="15">
        <v>160.80000000000001</v>
      </c>
      <c r="G94" s="15"/>
      <c r="H94" s="15">
        <f t="shared" si="4"/>
        <v>13175.953999999998</v>
      </c>
      <c r="K94" s="15">
        <v>-1010.9</v>
      </c>
      <c r="L94" s="6">
        <v>0</v>
      </c>
      <c r="M94" s="15">
        <f t="shared" si="5"/>
        <v>-1010.9</v>
      </c>
    </row>
    <row r="95" spans="1:13">
      <c r="A95" s="2">
        <f t="shared" si="6"/>
        <v>2017</v>
      </c>
      <c r="B95" s="2" t="s">
        <v>10</v>
      </c>
      <c r="C95" s="15">
        <v>4661.6000000000004</v>
      </c>
      <c r="D95" s="15">
        <v>8485.2999999999993</v>
      </c>
      <c r="E95" s="15">
        <v>4.5540000000000003</v>
      </c>
      <c r="F95" s="15">
        <v>158.5</v>
      </c>
      <c r="G95" s="15"/>
      <c r="H95" s="15">
        <f t="shared" si="4"/>
        <v>13309.954</v>
      </c>
      <c r="K95" s="15">
        <v>-1000.6</v>
      </c>
      <c r="L95" s="6">
        <v>0</v>
      </c>
      <c r="M95" s="15">
        <f t="shared" si="5"/>
        <v>-1000.6</v>
      </c>
    </row>
    <row r="96" spans="1:13">
      <c r="A96" s="2">
        <f t="shared" si="6"/>
        <v>2017</v>
      </c>
      <c r="B96" s="2" t="s">
        <v>11</v>
      </c>
      <c r="C96" s="15">
        <v>4329.8</v>
      </c>
      <c r="D96" s="15">
        <v>8243.2999999999993</v>
      </c>
      <c r="E96" s="15">
        <v>4.5540000000000003</v>
      </c>
      <c r="F96" s="15">
        <v>158.5</v>
      </c>
      <c r="G96" s="15"/>
      <c r="H96" s="15">
        <f t="shared" si="4"/>
        <v>12736.153999999999</v>
      </c>
      <c r="K96" s="15">
        <v>-915.40000000000009</v>
      </c>
      <c r="L96" s="6">
        <v>0</v>
      </c>
      <c r="M96" s="15">
        <f t="shared" si="5"/>
        <v>-915.40000000000009</v>
      </c>
    </row>
    <row r="97" spans="1:13">
      <c r="A97" s="2">
        <f t="shared" si="6"/>
        <v>2017</v>
      </c>
      <c r="B97" s="2" t="s">
        <v>12</v>
      </c>
      <c r="C97" s="15">
        <v>4301.8</v>
      </c>
      <c r="D97" s="15">
        <v>8345.5</v>
      </c>
      <c r="E97" s="15">
        <v>4.5540000000000003</v>
      </c>
      <c r="F97" s="15">
        <v>158.5</v>
      </c>
      <c r="G97" s="15"/>
      <c r="H97" s="15">
        <f t="shared" si="4"/>
        <v>12810.353999999999</v>
      </c>
      <c r="K97" s="15">
        <v>-919.7</v>
      </c>
      <c r="L97" s="6">
        <v>0</v>
      </c>
      <c r="M97" s="15">
        <f t="shared" si="5"/>
        <v>-919.7</v>
      </c>
    </row>
    <row r="98" spans="1:13">
      <c r="A98" s="2">
        <f t="shared" si="6"/>
        <v>2017</v>
      </c>
      <c r="B98" s="2" t="s">
        <v>13</v>
      </c>
      <c r="C98" s="15">
        <f>2451+2200.7</f>
        <v>4651.7</v>
      </c>
      <c r="D98" s="15">
        <v>7892.5</v>
      </c>
      <c r="E98" s="15">
        <v>4.5540000000000003</v>
      </c>
      <c r="F98" s="15">
        <v>158.5</v>
      </c>
      <c r="G98" s="15"/>
      <c r="H98" s="15">
        <f t="shared" si="4"/>
        <v>12707.254000000001</v>
      </c>
      <c r="K98" s="15">
        <v>-916.40000000000009</v>
      </c>
      <c r="L98" s="6">
        <v>0</v>
      </c>
      <c r="M98" s="15">
        <f t="shared" si="5"/>
        <v>-916.40000000000009</v>
      </c>
    </row>
    <row r="99" spans="1:13">
      <c r="A99" s="2">
        <f t="shared" si="6"/>
        <v>2018</v>
      </c>
      <c r="B99" s="2" t="s">
        <v>2</v>
      </c>
      <c r="C99" s="15">
        <v>4503.2</v>
      </c>
      <c r="D99" s="15">
        <v>8099.5</v>
      </c>
      <c r="E99" s="15">
        <v>4.5540000000000003</v>
      </c>
      <c r="F99" s="15">
        <v>158.5</v>
      </c>
      <c r="G99" s="15"/>
      <c r="H99" s="15">
        <f t="shared" si="4"/>
        <v>12765.754000000001</v>
      </c>
      <c r="K99" s="15">
        <v>-946.3</v>
      </c>
      <c r="L99" s="6">
        <v>0</v>
      </c>
      <c r="M99" s="15">
        <f t="shared" si="5"/>
        <v>-946.3</v>
      </c>
    </row>
    <row r="100" spans="1:13">
      <c r="A100" s="2">
        <f t="shared" si="6"/>
        <v>2018</v>
      </c>
      <c r="B100" s="2" t="s">
        <v>3</v>
      </c>
      <c r="C100" s="15">
        <v>4427.2</v>
      </c>
      <c r="D100" s="15">
        <v>7933.9</v>
      </c>
      <c r="E100" s="15">
        <v>4.5540000000000003</v>
      </c>
      <c r="F100" s="15">
        <v>158.5</v>
      </c>
      <c r="G100" s="15"/>
      <c r="H100" s="15">
        <f t="shared" si="4"/>
        <v>12524.153999999999</v>
      </c>
      <c r="K100" s="15">
        <v>-893.2</v>
      </c>
      <c r="L100" s="6">
        <v>0</v>
      </c>
      <c r="M100" s="15">
        <f t="shared" si="5"/>
        <v>-893.2</v>
      </c>
    </row>
    <row r="101" spans="1:13">
      <c r="A101" s="2">
        <f t="shared" si="6"/>
        <v>2018</v>
      </c>
      <c r="B101" s="2" t="s">
        <v>4</v>
      </c>
      <c r="C101" s="15">
        <v>4178</v>
      </c>
      <c r="D101" s="15">
        <v>7930</v>
      </c>
      <c r="E101" s="15">
        <v>4.5540000000000003</v>
      </c>
      <c r="F101" s="15">
        <v>158.5</v>
      </c>
      <c r="G101" s="15"/>
      <c r="H101" s="15">
        <f t="shared" si="4"/>
        <v>12271.054</v>
      </c>
      <c r="K101" s="15">
        <v>-891.1</v>
      </c>
      <c r="L101" s="6">
        <v>0</v>
      </c>
      <c r="M101" s="15">
        <f t="shared" si="5"/>
        <v>-891.1</v>
      </c>
    </row>
    <row r="102" spans="1:13">
      <c r="A102" s="2">
        <f t="shared" si="6"/>
        <v>2018</v>
      </c>
      <c r="B102" s="2" t="s">
        <v>5</v>
      </c>
      <c r="C102" s="15">
        <v>4154.6000000000004</v>
      </c>
      <c r="D102" s="15">
        <v>8121</v>
      </c>
      <c r="E102" s="15">
        <v>4.5540000000000003</v>
      </c>
      <c r="F102" s="15">
        <v>158.5</v>
      </c>
      <c r="G102" s="15"/>
      <c r="H102" s="15">
        <f t="shared" si="4"/>
        <v>12438.654</v>
      </c>
      <c r="K102" s="15">
        <v>-872.9</v>
      </c>
      <c r="L102" s="6">
        <v>0</v>
      </c>
      <c r="M102" s="15">
        <f t="shared" si="5"/>
        <v>-872.9</v>
      </c>
    </row>
    <row r="103" spans="1:13">
      <c r="A103" s="2">
        <f t="shared" si="6"/>
        <v>2018</v>
      </c>
      <c r="B103" s="2" t="s">
        <v>6</v>
      </c>
      <c r="C103" s="15">
        <v>4251.5</v>
      </c>
      <c r="D103" s="15">
        <v>8457</v>
      </c>
      <c r="E103" s="15">
        <v>4.5540000000000003</v>
      </c>
      <c r="F103" s="15">
        <v>158.5</v>
      </c>
      <c r="G103" s="15"/>
      <c r="H103" s="15">
        <f t="shared" si="4"/>
        <v>12871.554</v>
      </c>
      <c r="K103" s="15">
        <v>-862.1</v>
      </c>
      <c r="L103" s="6">
        <v>0</v>
      </c>
      <c r="M103" s="15">
        <f t="shared" si="5"/>
        <v>-862.1</v>
      </c>
    </row>
    <row r="104" spans="1:13">
      <c r="A104" s="2">
        <f t="shared" si="6"/>
        <v>2018</v>
      </c>
      <c r="B104" s="2" t="s">
        <v>7</v>
      </c>
      <c r="C104" s="15">
        <v>5219.6000000000004</v>
      </c>
      <c r="D104" s="15">
        <v>8357.4</v>
      </c>
      <c r="E104" s="15">
        <v>4.5540000000000003</v>
      </c>
      <c r="F104" s="15">
        <v>158.5</v>
      </c>
      <c r="G104" s="15"/>
      <c r="H104" s="15">
        <f t="shared" si="4"/>
        <v>13740.054</v>
      </c>
      <c r="K104" s="15">
        <v>-860.9</v>
      </c>
      <c r="L104" s="6">
        <v>0</v>
      </c>
      <c r="M104" s="15">
        <f t="shared" si="5"/>
        <v>-860.9</v>
      </c>
    </row>
    <row r="105" spans="1:13">
      <c r="A105" s="2">
        <f t="shared" si="6"/>
        <v>2018</v>
      </c>
      <c r="B105" s="2" t="s">
        <v>8</v>
      </c>
      <c r="C105" s="15">
        <f>149.3+4206.8</f>
        <v>4356.1000000000004</v>
      </c>
      <c r="D105" s="15">
        <v>8500.9</v>
      </c>
      <c r="E105" s="15">
        <v>4.5540000000000003</v>
      </c>
      <c r="F105" s="15">
        <v>158.5</v>
      </c>
      <c r="G105" s="15"/>
      <c r="H105" s="15">
        <f t="shared" si="4"/>
        <v>13020.054</v>
      </c>
      <c r="K105" s="15">
        <v>-906</v>
      </c>
      <c r="L105" s="6">
        <v>0</v>
      </c>
      <c r="M105" s="15">
        <f t="shared" si="5"/>
        <v>-906</v>
      </c>
    </row>
    <row r="106" spans="1:13">
      <c r="A106" s="2">
        <f t="shared" si="6"/>
        <v>2018</v>
      </c>
      <c r="B106" s="2" t="s">
        <v>9</v>
      </c>
      <c r="C106" s="15">
        <f>34.5+4346.5</f>
        <v>4381</v>
      </c>
      <c r="D106" s="15">
        <v>8496.4</v>
      </c>
      <c r="E106" s="15">
        <v>4.5540000000000003</v>
      </c>
      <c r="F106" s="15">
        <v>158.5</v>
      </c>
      <c r="G106" s="15"/>
      <c r="H106" s="15">
        <f t="shared" si="4"/>
        <v>13040.454</v>
      </c>
      <c r="K106" s="15">
        <v>-967.7</v>
      </c>
      <c r="L106" s="6">
        <v>0</v>
      </c>
      <c r="M106" s="15">
        <f t="shared" si="5"/>
        <v>-967.7</v>
      </c>
    </row>
    <row r="107" spans="1:13">
      <c r="A107" s="2">
        <f t="shared" si="6"/>
        <v>2018</v>
      </c>
      <c r="B107" s="2" t="s">
        <v>10</v>
      </c>
      <c r="C107" s="15">
        <f>23.6+4430.8</f>
        <v>4454.4000000000005</v>
      </c>
      <c r="D107" s="15">
        <v>8240.5</v>
      </c>
      <c r="E107" s="15">
        <v>4.5540000000000003</v>
      </c>
      <c r="F107" s="15">
        <v>158.5</v>
      </c>
      <c r="G107" s="15"/>
      <c r="H107" s="15">
        <f t="shared" si="4"/>
        <v>12857.954000000002</v>
      </c>
      <c r="K107" s="15">
        <v>-936.1</v>
      </c>
      <c r="L107" s="6">
        <v>0</v>
      </c>
      <c r="M107" s="15">
        <f t="shared" si="5"/>
        <v>-936.1</v>
      </c>
    </row>
    <row r="108" spans="1:13">
      <c r="A108" s="2">
        <f t="shared" si="6"/>
        <v>2018</v>
      </c>
      <c r="B108" s="2" t="s">
        <v>11</v>
      </c>
      <c r="C108" s="15">
        <v>4411.7</v>
      </c>
      <c r="D108" s="15">
        <v>8122.8</v>
      </c>
      <c r="E108" s="15">
        <v>4.5540000000000003</v>
      </c>
      <c r="F108" s="15">
        <v>158.5</v>
      </c>
      <c r="G108" s="15"/>
      <c r="H108" s="15">
        <f t="shared" si="4"/>
        <v>12697.554</v>
      </c>
      <c r="K108" s="15">
        <v>-963.5</v>
      </c>
      <c r="L108" s="6">
        <v>0</v>
      </c>
      <c r="M108" s="15">
        <f t="shared" si="5"/>
        <v>-963.5</v>
      </c>
    </row>
    <row r="109" spans="1:13">
      <c r="A109" s="2">
        <f t="shared" si="6"/>
        <v>2018</v>
      </c>
      <c r="B109" s="2" t="s">
        <v>12</v>
      </c>
      <c r="C109" s="15">
        <v>4266</v>
      </c>
      <c r="D109" s="15">
        <v>7965</v>
      </c>
      <c r="E109" s="15">
        <v>4.5540000000000003</v>
      </c>
      <c r="F109" s="15">
        <v>158.5</v>
      </c>
      <c r="G109" s="15"/>
      <c r="H109" s="15">
        <f t="shared" si="4"/>
        <v>12394.054</v>
      </c>
      <c r="K109" s="15">
        <v>-907.5</v>
      </c>
      <c r="L109" s="6">
        <v>0</v>
      </c>
      <c r="M109" s="15">
        <f t="shared" si="5"/>
        <v>-907.5</v>
      </c>
    </row>
    <row r="110" spans="1:13">
      <c r="A110" s="2">
        <f t="shared" si="6"/>
        <v>2018</v>
      </c>
      <c r="B110" s="2" t="s">
        <v>13</v>
      </c>
      <c r="C110" s="15">
        <v>4311.6000000000004</v>
      </c>
      <c r="D110" s="15">
        <v>7800.4</v>
      </c>
      <c r="E110" s="15">
        <v>4.5540000000000003</v>
      </c>
      <c r="F110" s="15">
        <v>158.5</v>
      </c>
      <c r="G110" s="15"/>
      <c r="H110" s="15">
        <f t="shared" si="4"/>
        <v>12275.054</v>
      </c>
      <c r="K110" s="15">
        <v>-900.3</v>
      </c>
      <c r="L110" s="6">
        <v>0</v>
      </c>
      <c r="M110" s="15">
        <f t="shared" si="5"/>
        <v>-900.3</v>
      </c>
    </row>
    <row r="111" spans="1:13">
      <c r="A111" s="2">
        <v>2019</v>
      </c>
      <c r="B111" s="2" t="s">
        <v>2</v>
      </c>
      <c r="C111" s="15">
        <v>4359.7</v>
      </c>
      <c r="D111" s="15">
        <v>7895.9</v>
      </c>
      <c r="E111" s="15">
        <v>4.5540000000000003</v>
      </c>
      <c r="F111" s="15">
        <v>158.5</v>
      </c>
      <c r="G111" s="15"/>
      <c r="H111" s="15">
        <f t="shared" si="4"/>
        <v>12418.653999999999</v>
      </c>
      <c r="K111" s="15">
        <v>-845.2</v>
      </c>
      <c r="L111" s="6">
        <v>0</v>
      </c>
      <c r="M111" s="15">
        <f t="shared" si="5"/>
        <v>-845.2</v>
      </c>
    </row>
    <row r="112" spans="1:13">
      <c r="A112" s="2">
        <v>2019</v>
      </c>
      <c r="B112" s="2" t="s">
        <v>3</v>
      </c>
      <c r="C112" s="15">
        <v>4491.8999999999996</v>
      </c>
      <c r="D112" s="15">
        <v>7693.4</v>
      </c>
      <c r="E112" s="15">
        <v>4.5540000000000003</v>
      </c>
      <c r="F112" s="15">
        <v>158.5</v>
      </c>
      <c r="G112" s="15"/>
      <c r="H112" s="15">
        <f t="shared" si="4"/>
        <v>12348.353999999999</v>
      </c>
      <c r="K112" s="15">
        <v>-886.6</v>
      </c>
      <c r="L112" s="6">
        <v>0</v>
      </c>
      <c r="M112" s="15">
        <f t="shared" si="5"/>
        <v>-886.6</v>
      </c>
    </row>
    <row r="113" spans="1:13">
      <c r="A113" s="2">
        <v>2019</v>
      </c>
      <c r="B113" s="2" t="s">
        <v>4</v>
      </c>
      <c r="C113" s="15">
        <v>4549</v>
      </c>
      <c r="D113" s="15">
        <v>7822</v>
      </c>
      <c r="E113" s="15">
        <v>4.5540000000000003</v>
      </c>
      <c r="F113" s="15">
        <v>158.5</v>
      </c>
      <c r="G113" s="15"/>
      <c r="H113" s="15">
        <f t="shared" si="4"/>
        <v>12534.054</v>
      </c>
      <c r="K113" s="15">
        <v>-904.7</v>
      </c>
      <c r="L113" s="6">
        <v>0</v>
      </c>
      <c r="M113" s="15">
        <f t="shared" si="5"/>
        <v>-904.7</v>
      </c>
    </row>
    <row r="114" spans="1:13">
      <c r="A114" s="2">
        <v>2019</v>
      </c>
      <c r="B114" s="2" t="s">
        <v>5</v>
      </c>
      <c r="C114" s="15">
        <v>4263.1000000000004</v>
      </c>
      <c r="D114" s="15">
        <v>8045.8</v>
      </c>
      <c r="E114" s="15">
        <v>4.5540000000000003</v>
      </c>
      <c r="F114" s="15">
        <v>158.5</v>
      </c>
      <c r="G114" s="15"/>
      <c r="H114" s="15">
        <f t="shared" si="4"/>
        <v>12471.954000000002</v>
      </c>
      <c r="K114" s="15">
        <v>-865</v>
      </c>
      <c r="L114" s="6">
        <v>0</v>
      </c>
      <c r="M114" s="15">
        <f t="shared" si="5"/>
        <v>-865</v>
      </c>
    </row>
    <row r="115" spans="1:13">
      <c r="A115" s="2">
        <v>2019</v>
      </c>
      <c r="B115" s="2" t="s">
        <v>6</v>
      </c>
      <c r="C115" s="15">
        <v>4076.1</v>
      </c>
      <c r="D115" s="15">
        <v>8162.6</v>
      </c>
      <c r="E115" s="15">
        <v>4.5540000000000003</v>
      </c>
      <c r="F115" s="15">
        <v>158.5</v>
      </c>
      <c r="G115" s="15"/>
      <c r="H115" s="15">
        <f t="shared" si="4"/>
        <v>12401.754000000001</v>
      </c>
      <c r="K115" s="15">
        <v>-852.5</v>
      </c>
      <c r="L115" s="6">
        <v>0</v>
      </c>
      <c r="M115" s="15">
        <f t="shared" si="5"/>
        <v>-852.5</v>
      </c>
    </row>
    <row r="116" spans="1:13">
      <c r="A116" s="2">
        <v>2019</v>
      </c>
      <c r="B116" s="2" t="s">
        <v>7</v>
      </c>
      <c r="C116" s="15">
        <v>4129.6000000000004</v>
      </c>
      <c r="D116" s="15">
        <v>7971.6</v>
      </c>
      <c r="E116" s="15">
        <v>4.5540000000000003</v>
      </c>
      <c r="F116" s="15">
        <v>158.5</v>
      </c>
      <c r="G116" s="15"/>
      <c r="H116" s="15">
        <f t="shared" si="4"/>
        <v>12264.254000000001</v>
      </c>
      <c r="K116" s="15">
        <v>-872.8</v>
      </c>
      <c r="L116" s="6">
        <v>0</v>
      </c>
      <c r="M116" s="15">
        <f t="shared" si="5"/>
        <v>-872.8</v>
      </c>
    </row>
    <row r="117" spans="1:13">
      <c r="A117" s="2">
        <v>2019</v>
      </c>
      <c r="B117" s="2" t="s">
        <v>8</v>
      </c>
      <c r="C117" s="15">
        <v>4192.3999999999996</v>
      </c>
      <c r="D117" s="15">
        <v>8136.9</v>
      </c>
      <c r="E117" s="15">
        <v>4.5540000000000003</v>
      </c>
      <c r="F117" s="15">
        <v>158.5</v>
      </c>
      <c r="G117" s="15"/>
      <c r="H117" s="15">
        <f t="shared" si="4"/>
        <v>12492.353999999999</v>
      </c>
      <c r="K117" s="15">
        <v>-961.7</v>
      </c>
      <c r="L117" s="6">
        <v>0</v>
      </c>
      <c r="M117" s="15">
        <f t="shared" si="5"/>
        <v>-961.7</v>
      </c>
    </row>
    <row r="118" spans="1:13">
      <c r="A118" s="2">
        <v>2019</v>
      </c>
      <c r="B118" s="2" t="s">
        <v>9</v>
      </c>
      <c r="C118" s="15">
        <v>4157.6000000000004</v>
      </c>
      <c r="D118" s="15">
        <v>8283.2000000000007</v>
      </c>
      <c r="E118" s="15">
        <v>4.5540000000000003</v>
      </c>
      <c r="F118" s="15">
        <v>158.5</v>
      </c>
      <c r="G118" s="15"/>
      <c r="H118" s="15">
        <f t="shared" si="4"/>
        <v>12603.854000000001</v>
      </c>
      <c r="K118" s="15">
        <v>-871.1</v>
      </c>
      <c r="L118" s="6">
        <v>0</v>
      </c>
      <c r="M118" s="15">
        <f t="shared" si="5"/>
        <v>-871.1</v>
      </c>
    </row>
    <row r="119" spans="1:13">
      <c r="A119" s="2">
        <v>2019</v>
      </c>
      <c r="B119" s="2" t="s">
        <v>10</v>
      </c>
      <c r="C119" s="15">
        <v>4362.2</v>
      </c>
      <c r="D119" s="15">
        <v>8312.2999999999993</v>
      </c>
      <c r="E119" s="15">
        <v>4.5540000000000003</v>
      </c>
      <c r="F119" s="15">
        <v>158.5</v>
      </c>
      <c r="G119" s="15"/>
      <c r="H119" s="15">
        <f t="shared" si="4"/>
        <v>12837.554</v>
      </c>
      <c r="K119" s="15">
        <v>-861.9</v>
      </c>
      <c r="L119" s="6">
        <v>0</v>
      </c>
      <c r="M119" s="15">
        <f t="shared" si="5"/>
        <v>-861.9</v>
      </c>
    </row>
    <row r="120" spans="1:13">
      <c r="A120" s="2">
        <v>2019</v>
      </c>
      <c r="B120" s="2" t="s">
        <v>11</v>
      </c>
      <c r="C120" s="15">
        <v>4378.1000000000004</v>
      </c>
      <c r="D120" s="15">
        <v>8226</v>
      </c>
      <c r="E120" s="15">
        <v>4.5540000000000003</v>
      </c>
      <c r="F120" s="15">
        <v>158.5</v>
      </c>
      <c r="G120" s="15"/>
      <c r="H120" s="15">
        <f t="shared" si="4"/>
        <v>12767.154</v>
      </c>
      <c r="K120" s="15">
        <v>-841.3</v>
      </c>
      <c r="L120" s="6">
        <v>0</v>
      </c>
      <c r="M120" s="15">
        <f t="shared" si="5"/>
        <v>-841.3</v>
      </c>
    </row>
    <row r="121" spans="1:13">
      <c r="A121" s="2">
        <v>2019</v>
      </c>
      <c r="B121" s="2" t="s">
        <v>12</v>
      </c>
      <c r="C121" s="149">
        <v>4357.8999999999996</v>
      </c>
      <c r="D121" s="149">
        <v>7888.7</v>
      </c>
      <c r="E121" s="149">
        <v>4.55</v>
      </c>
      <c r="F121" s="149">
        <v>114.8</v>
      </c>
      <c r="H121" s="15">
        <f t="shared" si="4"/>
        <v>12365.949999999997</v>
      </c>
      <c r="K121" s="149">
        <v>-917.8</v>
      </c>
      <c r="L121" s="6">
        <v>0</v>
      </c>
      <c r="M121" s="15">
        <f t="shared" si="5"/>
        <v>-917.8</v>
      </c>
    </row>
    <row r="122" spans="1:13">
      <c r="A122" s="2">
        <v>2019</v>
      </c>
      <c r="B122" s="2" t="s">
        <v>13</v>
      </c>
      <c r="C122" s="149">
        <v>4367.2</v>
      </c>
      <c r="D122" s="149">
        <v>7791.8</v>
      </c>
      <c r="E122" s="149">
        <v>4.55</v>
      </c>
      <c r="F122" s="149">
        <v>110.3</v>
      </c>
      <c r="G122" s="166"/>
      <c r="H122" s="149">
        <f t="shared" si="4"/>
        <v>12273.849999999999</v>
      </c>
      <c r="I122" s="166"/>
      <c r="J122" s="166"/>
      <c r="K122" s="149">
        <v>-929.8</v>
      </c>
      <c r="L122" s="6">
        <v>0</v>
      </c>
      <c r="M122" s="15">
        <f t="shared" si="5"/>
        <v>-929.8</v>
      </c>
    </row>
    <row r="123" spans="1:13">
      <c r="C123" s="8"/>
      <c r="D123" s="8"/>
      <c r="E123" s="8"/>
      <c r="F123" s="8"/>
    </row>
    <row r="126" spans="1:13">
      <c r="A126" s="14" t="s">
        <v>64</v>
      </c>
      <c r="C126" s="7"/>
    </row>
    <row r="127" spans="1:13">
      <c r="A127" s="14" t="s">
        <v>65</v>
      </c>
      <c r="C127" s="7"/>
    </row>
    <row r="128" spans="1:13">
      <c r="A128" s="2">
        <v>2010</v>
      </c>
      <c r="C128" s="7">
        <f t="shared" ref="C128" si="7">SUM(C3:C14)</f>
        <v>61885.200000000012</v>
      </c>
      <c r="D128" s="7">
        <f t="shared" ref="D128:M128" si="8">SUM(D3:D14)</f>
        <v>83976.04</v>
      </c>
      <c r="E128" s="7">
        <f t="shared" si="8"/>
        <v>87.726000000000013</v>
      </c>
      <c r="F128" s="7">
        <f t="shared" si="8"/>
        <v>1964.4000000000003</v>
      </c>
      <c r="G128" s="7"/>
      <c r="H128" s="7">
        <f t="shared" si="8"/>
        <v>147913.36600000001</v>
      </c>
      <c r="I128" s="7"/>
      <c r="J128" s="7"/>
      <c r="K128" s="7">
        <f t="shared" si="8"/>
        <v>-17516.100000000002</v>
      </c>
      <c r="L128" s="7">
        <f t="shared" si="8"/>
        <v>0</v>
      </c>
      <c r="M128" s="7">
        <f t="shared" si="8"/>
        <v>-17516.100000000002</v>
      </c>
    </row>
    <row r="129" spans="1:13">
      <c r="A129" s="2">
        <v>2011</v>
      </c>
      <c r="C129" s="7">
        <f t="shared" ref="C129" si="9">SUM(C15:C26)</f>
        <v>65743.399999999994</v>
      </c>
      <c r="D129" s="7">
        <f t="shared" ref="D129:M129" si="10">SUM(D15:D26)</f>
        <v>86114.400000000009</v>
      </c>
      <c r="E129" s="7">
        <f t="shared" si="10"/>
        <v>80.488388888888892</v>
      </c>
      <c r="F129" s="7">
        <f t="shared" si="10"/>
        <v>1963.4999999999995</v>
      </c>
      <c r="G129" s="7"/>
      <c r="H129" s="7">
        <f t="shared" si="10"/>
        <v>153901.7883888889</v>
      </c>
      <c r="I129" s="7"/>
      <c r="J129" s="7"/>
      <c r="K129" s="7">
        <f t="shared" si="10"/>
        <v>-20809.75</v>
      </c>
      <c r="L129" s="7">
        <f t="shared" si="10"/>
        <v>0</v>
      </c>
      <c r="M129" s="7">
        <f t="shared" si="10"/>
        <v>-20809.75</v>
      </c>
    </row>
    <row r="130" spans="1:13">
      <c r="A130" s="2">
        <v>2012</v>
      </c>
      <c r="C130" s="7">
        <f t="shared" ref="C130" si="11">SUM(C27:C38)</f>
        <v>67820.399999999994</v>
      </c>
      <c r="D130" s="7">
        <f t="shared" ref="D130:M130" si="12">SUM(D27:D38)</f>
        <v>89132.000000000015</v>
      </c>
      <c r="E130" s="7">
        <f t="shared" si="12"/>
        <v>72.48</v>
      </c>
      <c r="F130" s="7">
        <f t="shared" si="12"/>
        <v>1963.1999999999996</v>
      </c>
      <c r="G130" s="7"/>
      <c r="H130" s="7">
        <f t="shared" si="12"/>
        <v>158988.08000000005</v>
      </c>
      <c r="I130" s="7"/>
      <c r="J130" s="7"/>
      <c r="K130" s="7">
        <f t="shared" si="12"/>
        <v>-21990.799999999999</v>
      </c>
      <c r="L130" s="7">
        <f t="shared" si="12"/>
        <v>0</v>
      </c>
      <c r="M130" s="7">
        <f t="shared" si="12"/>
        <v>-21990.799999999999</v>
      </c>
    </row>
    <row r="131" spans="1:13">
      <c r="A131" s="2">
        <v>2013</v>
      </c>
      <c r="C131" s="7">
        <f t="shared" ref="C131" si="13">SUM(C39:C50)</f>
        <v>52256</v>
      </c>
      <c r="D131" s="7">
        <f t="shared" ref="D131:M131" si="14">SUM(D39:D50)</f>
        <v>105091.5</v>
      </c>
      <c r="E131" s="7">
        <f t="shared" si="14"/>
        <v>72.48</v>
      </c>
      <c r="F131" s="7">
        <f t="shared" si="14"/>
        <v>1979.6999999999996</v>
      </c>
      <c r="G131" s="7"/>
      <c r="H131" s="7">
        <f t="shared" si="14"/>
        <v>159399.67999999999</v>
      </c>
      <c r="I131" s="7"/>
      <c r="J131" s="7"/>
      <c r="K131" s="7">
        <f t="shared" si="14"/>
        <v>-13700.399063372332</v>
      </c>
      <c r="L131" s="7">
        <f t="shared" si="14"/>
        <v>0</v>
      </c>
      <c r="M131" s="7">
        <f t="shared" si="14"/>
        <v>-13700.399063372332</v>
      </c>
    </row>
    <row r="132" spans="1:13">
      <c r="A132" s="2">
        <v>2014</v>
      </c>
      <c r="C132" s="7">
        <f t="shared" ref="C132" si="15">SUM(C51:C62)</f>
        <v>48273.4</v>
      </c>
      <c r="D132" s="7">
        <f t="shared" ref="D132:M132" si="16">SUM(D51:D62)</f>
        <v>109682.1</v>
      </c>
      <c r="E132" s="7">
        <f t="shared" si="16"/>
        <v>70.580611111111111</v>
      </c>
      <c r="F132" s="7">
        <f t="shared" si="16"/>
        <v>1983.3099999999997</v>
      </c>
      <c r="G132" s="7"/>
      <c r="H132" s="7">
        <f t="shared" si="16"/>
        <v>160009.3906111111</v>
      </c>
      <c r="I132" s="7"/>
      <c r="J132" s="7"/>
      <c r="K132" s="7">
        <f t="shared" si="16"/>
        <v>-11328.309343150077</v>
      </c>
      <c r="L132" s="7">
        <f t="shared" si="16"/>
        <v>0</v>
      </c>
      <c r="M132" s="7">
        <f t="shared" si="16"/>
        <v>-11328.309343150077</v>
      </c>
    </row>
    <row r="133" spans="1:13">
      <c r="A133" s="2">
        <v>2015</v>
      </c>
      <c r="C133" s="7">
        <f t="shared" ref="C133" si="17">SUM(C63:C74)</f>
        <v>55778.200000000012</v>
      </c>
      <c r="D133" s="7">
        <f t="shared" ref="D133:M133" si="18">SUM(D63:D74)</f>
        <v>99567.400000000009</v>
      </c>
      <c r="E133" s="7">
        <f t="shared" si="18"/>
        <v>69.674000000000007</v>
      </c>
      <c r="F133" s="7">
        <f t="shared" si="18"/>
        <v>1983.5999999999997</v>
      </c>
      <c r="G133" s="7"/>
      <c r="H133" s="7">
        <f t="shared" si="18"/>
        <v>157398.87399999998</v>
      </c>
      <c r="I133" s="7"/>
      <c r="J133" s="7"/>
      <c r="K133" s="7">
        <f t="shared" si="18"/>
        <v>-13132.3</v>
      </c>
      <c r="L133" s="7">
        <f t="shared" si="18"/>
        <v>0</v>
      </c>
      <c r="M133" s="7">
        <f t="shared" si="18"/>
        <v>-13132.3</v>
      </c>
    </row>
    <row r="134" spans="1:13">
      <c r="A134" s="2">
        <v>2016</v>
      </c>
      <c r="C134" s="7">
        <f t="shared" ref="C134" si="19">SUM(C75:C86)</f>
        <v>55435.900000000009</v>
      </c>
      <c r="D134" s="7">
        <f t="shared" ref="D134:M134" si="20">SUM(D75:D86)</f>
        <v>96818.1</v>
      </c>
      <c r="E134" s="7">
        <f t="shared" si="20"/>
        <v>61.269333333333336</v>
      </c>
      <c r="F134" s="7">
        <f t="shared" si="20"/>
        <v>1984.2000000000005</v>
      </c>
      <c r="G134" s="7"/>
      <c r="H134" s="7">
        <f t="shared" si="20"/>
        <v>154299.46933333331</v>
      </c>
      <c r="I134" s="7"/>
      <c r="J134" s="7"/>
      <c r="K134" s="7">
        <f t="shared" si="20"/>
        <v>-12342.1</v>
      </c>
      <c r="L134" s="7">
        <f t="shared" si="20"/>
        <v>0</v>
      </c>
      <c r="M134" s="7">
        <f t="shared" si="20"/>
        <v>-12342.1</v>
      </c>
    </row>
    <row r="135" spans="1:13">
      <c r="A135" s="2">
        <v>2017</v>
      </c>
      <c r="C135" s="7">
        <f t="shared" ref="C135" si="21">SUM(C87:C98)</f>
        <v>53405.200000000004</v>
      </c>
      <c r="D135" s="7">
        <f t="shared" ref="D135:M135" si="22">SUM(D87:D98)</f>
        <v>98592</v>
      </c>
      <c r="E135" s="7">
        <f t="shared" si="22"/>
        <v>54.648000000000017</v>
      </c>
      <c r="F135" s="7">
        <f t="shared" si="22"/>
        <v>1920.3999999999999</v>
      </c>
      <c r="G135" s="7"/>
      <c r="H135" s="7">
        <f t="shared" si="22"/>
        <v>153972.24800000002</v>
      </c>
      <c r="I135" s="7"/>
      <c r="J135" s="7"/>
      <c r="K135" s="7">
        <f t="shared" si="22"/>
        <v>-11685.769999999999</v>
      </c>
      <c r="L135" s="7">
        <f t="shared" si="22"/>
        <v>0</v>
      </c>
      <c r="M135" s="7">
        <f t="shared" si="22"/>
        <v>-11685.769999999999</v>
      </c>
    </row>
    <row r="136" spans="1:13">
      <c r="A136" s="2">
        <v>2018</v>
      </c>
      <c r="C136" s="7">
        <f t="shared" ref="C136" si="23">SUM(C99:C110)</f>
        <v>52914.899999999994</v>
      </c>
      <c r="D136" s="7">
        <f t="shared" ref="D136:M136" si="24">SUM(D99:D110)</f>
        <v>98024.8</v>
      </c>
      <c r="E136" s="7">
        <f t="shared" si="24"/>
        <v>54.648000000000017</v>
      </c>
      <c r="F136" s="7">
        <f t="shared" si="24"/>
        <v>1902</v>
      </c>
      <c r="G136" s="7"/>
      <c r="H136" s="7">
        <f t="shared" si="24"/>
        <v>152896.348</v>
      </c>
      <c r="I136" s="7"/>
      <c r="J136" s="7"/>
      <c r="K136" s="7">
        <f t="shared" si="24"/>
        <v>-10907.599999999999</v>
      </c>
      <c r="L136" s="7">
        <f t="shared" si="24"/>
        <v>0</v>
      </c>
      <c r="M136" s="7">
        <f t="shared" si="24"/>
        <v>-10907.599999999999</v>
      </c>
    </row>
    <row r="137" spans="1:13">
      <c r="A137" s="2">
        <v>2019</v>
      </c>
      <c r="C137" s="147">
        <f t="shared" ref="C137" si="25">SUM(C111:C122)</f>
        <v>51684.799999999988</v>
      </c>
      <c r="D137" s="147">
        <f t="shared" ref="D137:M137" si="26">SUM(D111:D122)</f>
        <v>96230.2</v>
      </c>
      <c r="E137" s="147">
        <f t="shared" si="26"/>
        <v>54.640000000000008</v>
      </c>
      <c r="F137" s="147">
        <f t="shared" si="26"/>
        <v>1810.1</v>
      </c>
      <c r="G137" s="147"/>
      <c r="H137" s="147">
        <f t="shared" si="26"/>
        <v>149779.74000000002</v>
      </c>
      <c r="I137" s="147"/>
      <c r="J137" s="147"/>
      <c r="K137" s="147">
        <f t="shared" si="26"/>
        <v>-10610.399999999998</v>
      </c>
      <c r="L137" s="147">
        <f t="shared" si="26"/>
        <v>0</v>
      </c>
      <c r="M137" s="147">
        <f t="shared" si="26"/>
        <v>-10610.399999999998</v>
      </c>
    </row>
    <row r="139" spans="1:13">
      <c r="A139" s="14" t="s">
        <v>140</v>
      </c>
      <c r="C139" s="7"/>
    </row>
    <row r="140" spans="1:13">
      <c r="A140" s="2">
        <v>2010</v>
      </c>
      <c r="C140" s="18"/>
      <c r="D140" s="18"/>
      <c r="E140" s="18"/>
      <c r="F140" s="18"/>
      <c r="H140" s="18"/>
      <c r="K140" s="18"/>
      <c r="L140" s="18"/>
      <c r="M140" s="18"/>
    </row>
    <row r="141" spans="1:13">
      <c r="A141" s="2">
        <v>2011</v>
      </c>
      <c r="C141" s="17">
        <f t="shared" ref="C141" si="27">(C129-C128)/C128</f>
        <v>6.2344470083315263E-2</v>
      </c>
      <c r="D141" s="17">
        <f t="shared" ref="D141:M141" si="28">(D129-D128)/D128</f>
        <v>2.5463929949542934E-2</v>
      </c>
      <c r="E141" s="17">
        <f t="shared" si="28"/>
        <v>-8.2502463478457022E-2</v>
      </c>
      <c r="F141" s="17">
        <f t="shared" si="28"/>
        <v>-4.58155161881884E-4</v>
      </c>
      <c r="H141" s="17">
        <f t="shared" si="28"/>
        <v>4.0486012527690671E-2</v>
      </c>
      <c r="K141" s="17">
        <f t="shared" si="28"/>
        <v>0.1880355786961708</v>
      </c>
      <c r="L141" s="17">
        <v>0</v>
      </c>
      <c r="M141" s="17">
        <f t="shared" si="28"/>
        <v>0.1880355786961708</v>
      </c>
    </row>
    <row r="142" spans="1:13">
      <c r="A142" s="2">
        <v>2012</v>
      </c>
      <c r="C142" s="17">
        <f t="shared" ref="C142" si="29">(C130-C129)/C129</f>
        <v>3.1592524877021876E-2</v>
      </c>
      <c r="D142" s="17">
        <f t="shared" ref="D142:M149" si="30">(D130-D129)/D129</f>
        <v>3.5041758405098399E-2</v>
      </c>
      <c r="E142" s="17">
        <f t="shared" si="30"/>
        <v>-9.9497443040438532E-2</v>
      </c>
      <c r="F142" s="17">
        <f t="shared" si="30"/>
        <v>-1.527883880824826E-4</v>
      </c>
      <c r="H142" s="17">
        <f t="shared" si="30"/>
        <v>3.3048944163395773E-2</v>
      </c>
      <c r="K142" s="17">
        <f t="shared" si="30"/>
        <v>5.6754646259565791E-2</v>
      </c>
      <c r="L142" s="17">
        <v>0</v>
      </c>
      <c r="M142" s="17">
        <f t="shared" si="30"/>
        <v>5.6754646259565791E-2</v>
      </c>
    </row>
    <row r="143" spans="1:13">
      <c r="A143" s="2">
        <v>2013</v>
      </c>
      <c r="C143" s="17">
        <f t="shared" ref="C143" si="31">(C131-C130)/C130</f>
        <v>-0.22949437042541765</v>
      </c>
      <c r="D143" s="17">
        <f t="shared" si="30"/>
        <v>0.17905466050352267</v>
      </c>
      <c r="E143" s="17">
        <f t="shared" si="30"/>
        <v>0</v>
      </c>
      <c r="F143" s="17">
        <f t="shared" si="30"/>
        <v>8.4046454767726184E-3</v>
      </c>
      <c r="H143" s="17">
        <f t="shared" si="30"/>
        <v>2.5888733293712805E-3</v>
      </c>
      <c r="K143" s="17">
        <f t="shared" si="30"/>
        <v>-0.37699405827108007</v>
      </c>
      <c r="L143" s="17">
        <v>0</v>
      </c>
      <c r="M143" s="17">
        <f t="shared" si="30"/>
        <v>-0.37699405827108007</v>
      </c>
    </row>
    <row r="144" spans="1:13">
      <c r="A144" s="2">
        <v>2014</v>
      </c>
      <c r="C144" s="17">
        <f t="shared" ref="C144" si="32">(C132-C131)/C131</f>
        <v>-7.6213257807715831E-2</v>
      </c>
      <c r="D144" s="17">
        <f t="shared" si="30"/>
        <v>4.3681934314383233E-2</v>
      </c>
      <c r="E144" s="17">
        <f t="shared" si="30"/>
        <v>-2.6205696590630424E-2</v>
      </c>
      <c r="F144" s="17">
        <f t="shared" si="30"/>
        <v>1.8235086124160874E-3</v>
      </c>
      <c r="H144" s="17">
        <f t="shared" si="30"/>
        <v>3.825042880331417E-3</v>
      </c>
      <c r="K144" s="17">
        <f t="shared" si="30"/>
        <v>-0.17314019170171302</v>
      </c>
      <c r="L144" s="17">
        <v>0</v>
      </c>
      <c r="M144" s="17">
        <f t="shared" si="30"/>
        <v>-0.17314019170171302</v>
      </c>
    </row>
    <row r="145" spans="1:13">
      <c r="A145" s="2">
        <v>2015</v>
      </c>
      <c r="C145" s="17">
        <f t="shared" ref="C145" si="33">(C133-C132)/C132</f>
        <v>0.15546450011807766</v>
      </c>
      <c r="D145" s="17">
        <f t="shared" si="30"/>
        <v>-9.221832915307053E-2</v>
      </c>
      <c r="E145" s="17">
        <f t="shared" si="30"/>
        <v>-1.2845044791180356E-2</v>
      </c>
      <c r="F145" s="17">
        <f t="shared" si="30"/>
        <v>1.4622020763267651E-4</v>
      </c>
      <c r="H145" s="17">
        <f t="shared" si="30"/>
        <v>-1.6314771283991395E-2</v>
      </c>
      <c r="K145" s="17">
        <f t="shared" si="30"/>
        <v>0.15924623897569917</v>
      </c>
      <c r="L145" s="17">
        <v>0</v>
      </c>
      <c r="M145" s="17">
        <f t="shared" si="30"/>
        <v>0.15924623897569917</v>
      </c>
    </row>
    <row r="146" spans="1:13">
      <c r="A146" s="2">
        <v>2016</v>
      </c>
      <c r="C146" s="17">
        <f t="shared" ref="C146" si="34">(C134-C133)/C133</f>
        <v>-6.1368061357304979E-3</v>
      </c>
      <c r="D146" s="17">
        <f t="shared" si="30"/>
        <v>-2.7612451465037779E-2</v>
      </c>
      <c r="E146" s="17">
        <f t="shared" si="30"/>
        <v>-0.12062845059371746</v>
      </c>
      <c r="F146" s="17">
        <f t="shared" si="30"/>
        <v>3.0248033877839216E-4</v>
      </c>
      <c r="H146" s="17">
        <f t="shared" si="30"/>
        <v>-1.9691403044386897E-2</v>
      </c>
      <c r="K146" s="17">
        <f t="shared" si="30"/>
        <v>-6.0172247054971248E-2</v>
      </c>
      <c r="L146" s="17">
        <v>0</v>
      </c>
      <c r="M146" s="17">
        <f t="shared" si="30"/>
        <v>-6.0172247054971248E-2</v>
      </c>
    </row>
    <row r="147" spans="1:13">
      <c r="A147" s="2">
        <v>2017</v>
      </c>
      <c r="C147" s="17">
        <f t="shared" ref="C147" si="35">(C135-C134)/C134</f>
        <v>-3.6631496918062195E-2</v>
      </c>
      <c r="D147" s="17">
        <f t="shared" si="30"/>
        <v>1.8321987314355415E-2</v>
      </c>
      <c r="E147" s="17">
        <f t="shared" si="30"/>
        <v>-0.10806928969359306</v>
      </c>
      <c r="F147" s="17">
        <f t="shared" si="30"/>
        <v>-3.215401673218457E-2</v>
      </c>
      <c r="H147" s="17">
        <f t="shared" si="30"/>
        <v>-2.1206899462913546E-3</v>
      </c>
      <c r="K147" s="17">
        <f t="shared" si="30"/>
        <v>-5.3178146344625449E-2</v>
      </c>
      <c r="L147" s="17">
        <v>0</v>
      </c>
      <c r="M147" s="17">
        <f t="shared" si="30"/>
        <v>-5.3178146344625449E-2</v>
      </c>
    </row>
    <row r="148" spans="1:13">
      <c r="A148" s="2">
        <v>2018</v>
      </c>
      <c r="C148" s="17">
        <f t="shared" ref="C148" si="36">(C136-C135)/C135</f>
        <v>-9.1807539340740263E-3</v>
      </c>
      <c r="D148" s="17">
        <f t="shared" ref="D148:M148" si="37">(D136-D135)/D135</f>
        <v>-5.7530022719895846E-3</v>
      </c>
      <c r="E148" s="17">
        <f t="shared" si="37"/>
        <v>0</v>
      </c>
      <c r="F148" s="17">
        <f t="shared" si="37"/>
        <v>-9.5813372214121357E-3</v>
      </c>
      <c r="H148" s="17">
        <f t="shared" si="37"/>
        <v>-6.9876228604522491E-3</v>
      </c>
      <c r="K148" s="17">
        <f t="shared" si="37"/>
        <v>-6.6591247303344162E-2</v>
      </c>
      <c r="L148" s="17">
        <v>0</v>
      </c>
      <c r="M148" s="17">
        <f t="shared" si="37"/>
        <v>-6.6591247303344162E-2</v>
      </c>
    </row>
    <row r="149" spans="1:13">
      <c r="A149" s="2">
        <v>2019</v>
      </c>
      <c r="C149" s="17">
        <f t="shared" ref="C149" si="38">(C137-C136)/C136</f>
        <v>-2.324676036428314E-2</v>
      </c>
      <c r="D149" s="17">
        <f t="shared" si="30"/>
        <v>-1.8307611951261373E-2</v>
      </c>
      <c r="E149" s="17">
        <f t="shared" si="30"/>
        <v>-1.4639145073945569E-4</v>
      </c>
      <c r="F149" s="17">
        <f t="shared" si="30"/>
        <v>-4.8317560462670918E-2</v>
      </c>
      <c r="H149" s="17">
        <f t="shared" si="30"/>
        <v>-2.0383796217290803E-2</v>
      </c>
      <c r="K149" s="17">
        <f t="shared" si="30"/>
        <v>-2.7247057097803437E-2</v>
      </c>
      <c r="L149" s="17">
        <v>0</v>
      </c>
      <c r="M149" s="17">
        <f t="shared" si="30"/>
        <v>-2.7247057097803437E-2</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50"/>
  <sheetViews>
    <sheetView workbookViewId="0">
      <pane ySplit="2" topLeftCell="A3" activePane="bottomLeft" state="frozen"/>
      <selection activeCell="N139" sqref="N139"/>
      <selection pane="bottomLeft"/>
    </sheetView>
  </sheetViews>
  <sheetFormatPr defaultColWidth="8.58203125" defaultRowHeight="14.5"/>
  <cols>
    <col min="1" max="1" width="8.58203125" style="2"/>
    <col min="2" max="2" width="12.5" style="2" customWidth="1"/>
    <col min="3" max="10" width="13.83203125" style="7" customWidth="1"/>
    <col min="11" max="11" width="19.5" style="4" customWidth="1"/>
    <col min="12" max="16384" width="8.58203125" style="1"/>
  </cols>
  <sheetData>
    <row r="1" spans="1:11">
      <c r="C1" s="3" t="s">
        <v>14</v>
      </c>
      <c r="D1" s="3" t="s">
        <v>48</v>
      </c>
      <c r="E1" s="3" t="s">
        <v>54</v>
      </c>
      <c r="F1" s="3" t="s">
        <v>55</v>
      </c>
      <c r="G1" s="3" t="s">
        <v>56</v>
      </c>
      <c r="H1" s="3" t="s">
        <v>57</v>
      </c>
      <c r="I1" s="3" t="s">
        <v>139</v>
      </c>
      <c r="J1" s="3"/>
      <c r="K1" s="363" t="s">
        <v>59</v>
      </c>
    </row>
    <row r="2" spans="1:11" ht="29">
      <c r="A2" s="5" t="s">
        <v>0</v>
      </c>
      <c r="B2" s="5" t="s">
        <v>1</v>
      </c>
      <c r="C2" s="129" t="s">
        <v>141</v>
      </c>
      <c r="D2" s="129" t="s">
        <v>141</v>
      </c>
      <c r="E2" s="129" t="s">
        <v>141</v>
      </c>
      <c r="F2" s="129" t="s">
        <v>141</v>
      </c>
      <c r="G2" s="129" t="s">
        <v>142</v>
      </c>
      <c r="H2" s="129" t="s">
        <v>142</v>
      </c>
      <c r="I2" s="129" t="s">
        <v>142</v>
      </c>
      <c r="J2" s="6"/>
      <c r="K2" s="363"/>
    </row>
    <row r="3" spans="1:11">
      <c r="A3" s="2">
        <v>2010</v>
      </c>
      <c r="B3" s="2" t="s">
        <v>2</v>
      </c>
      <c r="C3" s="13">
        <v>3058</v>
      </c>
      <c r="D3" s="13">
        <v>481</v>
      </c>
      <c r="E3" s="147">
        <v>42</v>
      </c>
      <c r="F3" s="13">
        <v>5</v>
      </c>
      <c r="G3" s="13">
        <v>1</v>
      </c>
      <c r="H3" s="13">
        <v>28</v>
      </c>
      <c r="I3" s="13">
        <v>900</v>
      </c>
      <c r="J3" s="12"/>
      <c r="K3" s="7">
        <f>SUM(C3:I3)</f>
        <v>4515</v>
      </c>
    </row>
    <row r="4" spans="1:11">
      <c r="A4" s="2">
        <v>2010</v>
      </c>
      <c r="B4" s="2" t="s">
        <v>3</v>
      </c>
      <c r="C4" s="13">
        <v>3061</v>
      </c>
      <c r="D4" s="13">
        <v>480</v>
      </c>
      <c r="E4" s="147">
        <v>42</v>
      </c>
      <c r="F4" s="13">
        <v>5</v>
      </c>
      <c r="G4" s="13">
        <v>1</v>
      </c>
      <c r="H4" s="13">
        <v>28</v>
      </c>
      <c r="I4" s="13">
        <v>900</v>
      </c>
      <c r="J4" s="12"/>
      <c r="K4" s="7">
        <f t="shared" ref="K4:K67" si="0">SUM(C4:I4)</f>
        <v>4517</v>
      </c>
    </row>
    <row r="5" spans="1:11">
      <c r="A5" s="2">
        <v>2010</v>
      </c>
      <c r="B5" s="2" t="s">
        <v>4</v>
      </c>
      <c r="C5" s="13">
        <v>3061</v>
      </c>
      <c r="D5" s="13">
        <v>473</v>
      </c>
      <c r="E5" s="147">
        <v>42</v>
      </c>
      <c r="F5" s="13">
        <v>5</v>
      </c>
      <c r="G5" s="13">
        <v>1</v>
      </c>
      <c r="H5" s="13">
        <v>28</v>
      </c>
      <c r="I5" s="13">
        <v>900</v>
      </c>
      <c r="J5" s="12"/>
      <c r="K5" s="7">
        <f t="shared" si="0"/>
        <v>4510</v>
      </c>
    </row>
    <row r="6" spans="1:11">
      <c r="A6" s="2">
        <v>2010</v>
      </c>
      <c r="B6" s="2" t="s">
        <v>5</v>
      </c>
      <c r="C6" s="13">
        <v>3067</v>
      </c>
      <c r="D6" s="13">
        <v>477</v>
      </c>
      <c r="E6" s="147">
        <v>42</v>
      </c>
      <c r="F6" s="13">
        <v>5</v>
      </c>
      <c r="G6" s="13">
        <v>1</v>
      </c>
      <c r="H6" s="13">
        <v>28</v>
      </c>
      <c r="I6" s="13">
        <v>900</v>
      </c>
      <c r="J6" s="12"/>
      <c r="K6" s="7">
        <f t="shared" si="0"/>
        <v>4520</v>
      </c>
    </row>
    <row r="7" spans="1:11">
      <c r="A7" s="2">
        <v>2010</v>
      </c>
      <c r="B7" s="2" t="s">
        <v>6</v>
      </c>
      <c r="C7" s="13">
        <v>3076</v>
      </c>
      <c r="D7" s="13">
        <v>479</v>
      </c>
      <c r="E7" s="147">
        <v>42</v>
      </c>
      <c r="F7" s="13">
        <v>5</v>
      </c>
      <c r="G7" s="13">
        <v>1</v>
      </c>
      <c r="H7" s="13">
        <v>28</v>
      </c>
      <c r="I7" s="13">
        <v>900</v>
      </c>
      <c r="J7" s="12"/>
      <c r="K7" s="7">
        <f t="shared" si="0"/>
        <v>4531</v>
      </c>
    </row>
    <row r="8" spans="1:11">
      <c r="A8" s="2">
        <v>2010</v>
      </c>
      <c r="B8" s="2" t="s">
        <v>7</v>
      </c>
      <c r="C8" s="13">
        <v>3072</v>
      </c>
      <c r="D8" s="13">
        <v>482</v>
      </c>
      <c r="E8" s="147">
        <v>39</v>
      </c>
      <c r="F8" s="13">
        <v>5</v>
      </c>
      <c r="G8" s="13">
        <v>1</v>
      </c>
      <c r="H8" s="13">
        <v>28</v>
      </c>
      <c r="I8" s="13">
        <v>900</v>
      </c>
      <c r="J8" s="12"/>
      <c r="K8" s="7">
        <f t="shared" si="0"/>
        <v>4527</v>
      </c>
    </row>
    <row r="9" spans="1:11">
      <c r="A9" s="2">
        <v>2010</v>
      </c>
      <c r="B9" s="2" t="s">
        <v>8</v>
      </c>
      <c r="C9" s="13">
        <v>3074</v>
      </c>
      <c r="D9" s="13">
        <v>485</v>
      </c>
      <c r="E9" s="147">
        <v>37</v>
      </c>
      <c r="F9" s="13">
        <v>5</v>
      </c>
      <c r="G9" s="13">
        <v>1</v>
      </c>
      <c r="H9" s="13">
        <v>28</v>
      </c>
      <c r="I9" s="13">
        <v>900</v>
      </c>
      <c r="J9" s="12"/>
      <c r="K9" s="7">
        <f t="shared" si="0"/>
        <v>4530</v>
      </c>
    </row>
    <row r="10" spans="1:11">
      <c r="A10" s="2">
        <v>2010</v>
      </c>
      <c r="B10" s="2" t="s">
        <v>9</v>
      </c>
      <c r="C10" s="13">
        <v>3073</v>
      </c>
      <c r="D10" s="13">
        <v>482</v>
      </c>
      <c r="E10" s="147">
        <v>38</v>
      </c>
      <c r="F10" s="13">
        <v>5</v>
      </c>
      <c r="G10" s="13">
        <v>1</v>
      </c>
      <c r="H10" s="13">
        <v>28</v>
      </c>
      <c r="I10" s="13">
        <v>900</v>
      </c>
      <c r="J10" s="12"/>
      <c r="K10" s="7">
        <f t="shared" si="0"/>
        <v>4527</v>
      </c>
    </row>
    <row r="11" spans="1:11">
      <c r="A11" s="2">
        <v>2010</v>
      </c>
      <c r="B11" s="2" t="s">
        <v>10</v>
      </c>
      <c r="C11" s="13">
        <v>3069</v>
      </c>
      <c r="D11" s="13">
        <v>483</v>
      </c>
      <c r="E11" s="147">
        <v>38</v>
      </c>
      <c r="F11" s="13">
        <v>5</v>
      </c>
      <c r="G11" s="13">
        <v>1</v>
      </c>
      <c r="H11" s="13">
        <v>28</v>
      </c>
      <c r="I11" s="13">
        <v>900</v>
      </c>
      <c r="J11" s="12"/>
      <c r="K11" s="7">
        <f t="shared" si="0"/>
        <v>4524</v>
      </c>
    </row>
    <row r="12" spans="1:11">
      <c r="A12" s="2">
        <v>2010</v>
      </c>
      <c r="B12" s="2" t="s">
        <v>11</v>
      </c>
      <c r="C12" s="13">
        <v>3075</v>
      </c>
      <c r="D12" s="13">
        <v>478</v>
      </c>
      <c r="E12" s="147">
        <v>38</v>
      </c>
      <c r="F12" s="13">
        <v>5</v>
      </c>
      <c r="G12" s="13">
        <v>1</v>
      </c>
      <c r="H12" s="13">
        <v>28</v>
      </c>
      <c r="I12" s="13">
        <v>900</v>
      </c>
      <c r="J12" s="12"/>
      <c r="K12" s="7">
        <f t="shared" si="0"/>
        <v>4525</v>
      </c>
    </row>
    <row r="13" spans="1:11">
      <c r="A13" s="2">
        <v>2010</v>
      </c>
      <c r="B13" s="2" t="s">
        <v>12</v>
      </c>
      <c r="C13" s="13">
        <v>3094</v>
      </c>
      <c r="D13" s="13">
        <v>475</v>
      </c>
      <c r="E13" s="147">
        <v>38</v>
      </c>
      <c r="F13" s="13">
        <v>5</v>
      </c>
      <c r="G13" s="13">
        <v>1</v>
      </c>
      <c r="H13" s="13">
        <v>28</v>
      </c>
      <c r="I13" s="13">
        <v>900</v>
      </c>
      <c r="J13" s="12"/>
      <c r="K13" s="7">
        <f t="shared" si="0"/>
        <v>4541</v>
      </c>
    </row>
    <row r="14" spans="1:11">
      <c r="A14" s="2">
        <v>2010</v>
      </c>
      <c r="B14" s="2" t="s">
        <v>13</v>
      </c>
      <c r="C14" s="13">
        <v>3095</v>
      </c>
      <c r="D14" s="13">
        <v>473</v>
      </c>
      <c r="E14" s="147">
        <v>38</v>
      </c>
      <c r="F14" s="13">
        <v>5</v>
      </c>
      <c r="G14" s="13">
        <v>3</v>
      </c>
      <c r="H14" s="13">
        <v>28</v>
      </c>
      <c r="I14" s="13">
        <v>900</v>
      </c>
      <c r="J14" s="12"/>
      <c r="K14" s="7">
        <f t="shared" si="0"/>
        <v>4542</v>
      </c>
    </row>
    <row r="15" spans="1:11">
      <c r="A15" s="2">
        <f t="shared" ref="A15:A46" si="1">A3+1</f>
        <v>2011</v>
      </c>
      <c r="B15" s="2" t="s">
        <v>2</v>
      </c>
      <c r="C15" s="13">
        <v>3103</v>
      </c>
      <c r="D15" s="13">
        <v>477</v>
      </c>
      <c r="E15" s="147">
        <v>38</v>
      </c>
      <c r="F15" s="13">
        <v>5</v>
      </c>
      <c r="G15" s="13">
        <v>3</v>
      </c>
      <c r="H15" s="13">
        <v>28</v>
      </c>
      <c r="I15" s="13">
        <v>900</v>
      </c>
      <c r="J15" s="12"/>
      <c r="K15" s="7">
        <f t="shared" si="0"/>
        <v>4554</v>
      </c>
    </row>
    <row r="16" spans="1:11">
      <c r="A16" s="2">
        <f t="shared" si="1"/>
        <v>2011</v>
      </c>
      <c r="B16" s="2" t="s">
        <v>3</v>
      </c>
      <c r="C16" s="13">
        <v>3097</v>
      </c>
      <c r="D16" s="13">
        <v>473</v>
      </c>
      <c r="E16" s="147">
        <v>38</v>
      </c>
      <c r="F16" s="13">
        <v>5</v>
      </c>
      <c r="G16" s="13">
        <v>3</v>
      </c>
      <c r="H16" s="13">
        <v>28</v>
      </c>
      <c r="I16" s="13">
        <v>900</v>
      </c>
      <c r="J16" s="12"/>
      <c r="K16" s="7">
        <f t="shared" si="0"/>
        <v>4544</v>
      </c>
    </row>
    <row r="17" spans="1:11">
      <c r="A17" s="2">
        <f t="shared" si="1"/>
        <v>2011</v>
      </c>
      <c r="B17" s="2" t="s">
        <v>4</v>
      </c>
      <c r="C17" s="13">
        <v>3098</v>
      </c>
      <c r="D17" s="13">
        <v>475</v>
      </c>
      <c r="E17" s="147">
        <v>38</v>
      </c>
      <c r="F17" s="13">
        <v>5</v>
      </c>
      <c r="G17" s="13">
        <v>1</v>
      </c>
      <c r="H17" s="13">
        <v>28</v>
      </c>
      <c r="I17" s="13">
        <v>900</v>
      </c>
      <c r="J17" s="12"/>
      <c r="K17" s="7">
        <f t="shared" si="0"/>
        <v>4545</v>
      </c>
    </row>
    <row r="18" spans="1:11">
      <c r="A18" s="2">
        <f t="shared" si="1"/>
        <v>2011</v>
      </c>
      <c r="B18" s="2" t="s">
        <v>5</v>
      </c>
      <c r="C18" s="13">
        <v>3099</v>
      </c>
      <c r="D18" s="13">
        <v>479</v>
      </c>
      <c r="E18" s="147">
        <v>38</v>
      </c>
      <c r="F18" s="13">
        <v>5</v>
      </c>
      <c r="G18" s="13">
        <v>1</v>
      </c>
      <c r="H18" s="13">
        <v>28</v>
      </c>
      <c r="I18" s="13">
        <v>900</v>
      </c>
      <c r="J18" s="12"/>
      <c r="K18" s="7">
        <f t="shared" si="0"/>
        <v>4550</v>
      </c>
    </row>
    <row r="19" spans="1:11">
      <c r="A19" s="2">
        <f t="shared" si="1"/>
        <v>2011</v>
      </c>
      <c r="B19" s="2" t="s">
        <v>6</v>
      </c>
      <c r="C19" s="13">
        <v>3090</v>
      </c>
      <c r="D19" s="13">
        <v>478</v>
      </c>
      <c r="E19" s="147">
        <v>39</v>
      </c>
      <c r="F19" s="13">
        <v>5</v>
      </c>
      <c r="G19" s="13">
        <v>1</v>
      </c>
      <c r="H19" s="13">
        <v>28</v>
      </c>
      <c r="I19" s="13">
        <v>900</v>
      </c>
      <c r="J19" s="12"/>
      <c r="K19" s="7">
        <f t="shared" si="0"/>
        <v>4541</v>
      </c>
    </row>
    <row r="20" spans="1:11">
      <c r="A20" s="2">
        <f t="shared" si="1"/>
        <v>2011</v>
      </c>
      <c r="B20" s="2" t="s">
        <v>7</v>
      </c>
      <c r="C20" s="13">
        <v>3098</v>
      </c>
      <c r="D20" s="13">
        <v>482</v>
      </c>
      <c r="E20" s="147">
        <v>39</v>
      </c>
      <c r="F20" s="13">
        <v>5</v>
      </c>
      <c r="G20" s="13">
        <v>1</v>
      </c>
      <c r="H20" s="13">
        <v>28</v>
      </c>
      <c r="I20" s="13">
        <v>900</v>
      </c>
      <c r="J20" s="12"/>
      <c r="K20" s="7">
        <f t="shared" si="0"/>
        <v>4553</v>
      </c>
    </row>
    <row r="21" spans="1:11">
      <c r="A21" s="2">
        <f t="shared" si="1"/>
        <v>2011</v>
      </c>
      <c r="B21" s="2" t="s">
        <v>8</v>
      </c>
      <c r="C21" s="13">
        <v>3108</v>
      </c>
      <c r="D21" s="13">
        <v>480</v>
      </c>
      <c r="E21" s="147">
        <v>39</v>
      </c>
      <c r="F21" s="13">
        <v>5</v>
      </c>
      <c r="G21" s="13">
        <v>1</v>
      </c>
      <c r="H21" s="13">
        <v>28</v>
      </c>
      <c r="I21" s="13">
        <v>900</v>
      </c>
      <c r="J21" s="12"/>
      <c r="K21" s="7">
        <f t="shared" si="0"/>
        <v>4561</v>
      </c>
    </row>
    <row r="22" spans="1:11">
      <c r="A22" s="2">
        <f t="shared" si="1"/>
        <v>2011</v>
      </c>
      <c r="B22" s="2" t="s">
        <v>9</v>
      </c>
      <c r="C22" s="13">
        <v>3110</v>
      </c>
      <c r="D22" s="13">
        <v>480</v>
      </c>
      <c r="E22" s="147">
        <v>39</v>
      </c>
      <c r="F22" s="13">
        <v>5</v>
      </c>
      <c r="G22" s="13">
        <v>1</v>
      </c>
      <c r="H22" s="13">
        <v>28</v>
      </c>
      <c r="I22" s="13">
        <v>898</v>
      </c>
      <c r="J22" s="12"/>
      <c r="K22" s="7">
        <f t="shared" si="0"/>
        <v>4561</v>
      </c>
    </row>
    <row r="23" spans="1:11">
      <c r="A23" s="2">
        <f t="shared" si="1"/>
        <v>2011</v>
      </c>
      <c r="B23" s="2" t="s">
        <v>10</v>
      </c>
      <c r="C23" s="13">
        <v>3101</v>
      </c>
      <c r="D23" s="13">
        <v>480</v>
      </c>
      <c r="E23" s="147">
        <v>39</v>
      </c>
      <c r="F23" s="13">
        <v>5</v>
      </c>
      <c r="G23" s="13">
        <v>1</v>
      </c>
      <c r="H23" s="13">
        <v>28</v>
      </c>
      <c r="I23" s="13">
        <v>898</v>
      </c>
      <c r="J23" s="12"/>
      <c r="K23" s="7">
        <f t="shared" si="0"/>
        <v>4552</v>
      </c>
    </row>
    <row r="24" spans="1:11">
      <c r="A24" s="2">
        <f t="shared" si="1"/>
        <v>2011</v>
      </c>
      <c r="B24" s="2" t="s">
        <v>11</v>
      </c>
      <c r="C24" s="13">
        <v>3106</v>
      </c>
      <c r="D24" s="13">
        <v>481</v>
      </c>
      <c r="E24" s="147">
        <v>39</v>
      </c>
      <c r="F24" s="13">
        <v>5</v>
      </c>
      <c r="G24" s="13">
        <v>1</v>
      </c>
      <c r="H24" s="13">
        <v>28</v>
      </c>
      <c r="I24" s="13">
        <v>898</v>
      </c>
      <c r="J24" s="12"/>
      <c r="K24" s="7">
        <f t="shared" si="0"/>
        <v>4558</v>
      </c>
    </row>
    <row r="25" spans="1:11">
      <c r="A25" s="2">
        <f t="shared" si="1"/>
        <v>2011</v>
      </c>
      <c r="B25" s="2" t="s">
        <v>12</v>
      </c>
      <c r="C25" s="13">
        <v>3112</v>
      </c>
      <c r="D25" s="13">
        <v>474</v>
      </c>
      <c r="E25" s="147">
        <v>37</v>
      </c>
      <c r="F25" s="13">
        <v>5</v>
      </c>
      <c r="G25" s="13">
        <v>2</v>
      </c>
      <c r="H25" s="13">
        <v>28</v>
      </c>
      <c r="I25" s="13">
        <v>898</v>
      </c>
      <c r="J25" s="12"/>
      <c r="K25" s="7">
        <f t="shared" si="0"/>
        <v>4556</v>
      </c>
    </row>
    <row r="26" spans="1:11">
      <c r="A26" s="2">
        <f t="shared" si="1"/>
        <v>2011</v>
      </c>
      <c r="B26" s="2" t="s">
        <v>13</v>
      </c>
      <c r="C26" s="13">
        <v>3117</v>
      </c>
      <c r="D26" s="13">
        <v>474</v>
      </c>
      <c r="E26" s="147">
        <v>37</v>
      </c>
      <c r="F26" s="13">
        <v>5</v>
      </c>
      <c r="G26" s="13">
        <v>3</v>
      </c>
      <c r="H26" s="13">
        <v>28</v>
      </c>
      <c r="I26" s="13">
        <v>898</v>
      </c>
      <c r="J26" s="12"/>
      <c r="K26" s="7">
        <f t="shared" si="0"/>
        <v>4562</v>
      </c>
    </row>
    <row r="27" spans="1:11">
      <c r="A27" s="2">
        <f t="shared" si="1"/>
        <v>2012</v>
      </c>
      <c r="B27" s="2" t="s">
        <v>2</v>
      </c>
      <c r="C27" s="13">
        <v>3120</v>
      </c>
      <c r="D27" s="13">
        <v>473</v>
      </c>
      <c r="E27" s="147">
        <v>37</v>
      </c>
      <c r="F27" s="13">
        <v>5</v>
      </c>
      <c r="G27" s="13">
        <v>3</v>
      </c>
      <c r="H27" s="13">
        <v>28</v>
      </c>
      <c r="I27" s="13">
        <v>898</v>
      </c>
      <c r="J27" s="12"/>
      <c r="K27" s="7">
        <f t="shared" si="0"/>
        <v>4564</v>
      </c>
    </row>
    <row r="28" spans="1:11">
      <c r="A28" s="2">
        <f t="shared" si="1"/>
        <v>2012</v>
      </c>
      <c r="B28" s="2" t="s">
        <v>3</v>
      </c>
      <c r="C28" s="13">
        <v>3119</v>
      </c>
      <c r="D28" s="13">
        <v>472</v>
      </c>
      <c r="E28" s="147">
        <v>37</v>
      </c>
      <c r="F28" s="13">
        <v>5</v>
      </c>
      <c r="G28" s="13">
        <v>1</v>
      </c>
      <c r="H28" s="13">
        <v>28</v>
      </c>
      <c r="I28" s="13">
        <v>898</v>
      </c>
      <c r="J28" s="12"/>
      <c r="K28" s="7">
        <f t="shared" si="0"/>
        <v>4560</v>
      </c>
    </row>
    <row r="29" spans="1:11">
      <c r="A29" s="2">
        <f t="shared" si="1"/>
        <v>2012</v>
      </c>
      <c r="B29" s="2" t="s">
        <v>4</v>
      </c>
      <c r="C29" s="13">
        <v>3118</v>
      </c>
      <c r="D29" s="13">
        <v>472</v>
      </c>
      <c r="E29" s="147">
        <v>37</v>
      </c>
      <c r="F29" s="13">
        <v>5</v>
      </c>
      <c r="G29" s="13">
        <v>1</v>
      </c>
      <c r="H29" s="13">
        <v>28</v>
      </c>
      <c r="I29" s="13">
        <v>898</v>
      </c>
      <c r="J29" s="12"/>
      <c r="K29" s="7">
        <f t="shared" si="0"/>
        <v>4559</v>
      </c>
    </row>
    <row r="30" spans="1:11">
      <c r="A30" s="2">
        <f t="shared" si="1"/>
        <v>2012</v>
      </c>
      <c r="B30" s="2" t="s">
        <v>5</v>
      </c>
      <c r="C30" s="13">
        <v>3123</v>
      </c>
      <c r="D30" s="13">
        <v>475</v>
      </c>
      <c r="E30" s="147">
        <v>37</v>
      </c>
      <c r="F30" s="13">
        <v>5</v>
      </c>
      <c r="G30" s="13">
        <v>1</v>
      </c>
      <c r="H30" s="13">
        <v>28</v>
      </c>
      <c r="I30" s="13">
        <v>898</v>
      </c>
      <c r="J30" s="12"/>
      <c r="K30" s="7">
        <f t="shared" si="0"/>
        <v>4567</v>
      </c>
    </row>
    <row r="31" spans="1:11">
      <c r="A31" s="2">
        <f t="shared" si="1"/>
        <v>2012</v>
      </c>
      <c r="B31" s="2" t="s">
        <v>6</v>
      </c>
      <c r="C31" s="13">
        <v>3123</v>
      </c>
      <c r="D31" s="13">
        <v>480</v>
      </c>
      <c r="E31" s="147">
        <v>38</v>
      </c>
      <c r="F31" s="13">
        <v>5</v>
      </c>
      <c r="G31" s="13">
        <v>1</v>
      </c>
      <c r="H31" s="13">
        <v>28</v>
      </c>
      <c r="I31" s="13">
        <v>898</v>
      </c>
      <c r="J31" s="12"/>
      <c r="K31" s="7">
        <f t="shared" si="0"/>
        <v>4573</v>
      </c>
    </row>
    <row r="32" spans="1:11">
      <c r="A32" s="2">
        <f t="shared" si="1"/>
        <v>2012</v>
      </c>
      <c r="B32" s="2" t="s">
        <v>7</v>
      </c>
      <c r="C32" s="13">
        <v>3121</v>
      </c>
      <c r="D32" s="13">
        <v>482</v>
      </c>
      <c r="E32" s="147">
        <v>38</v>
      </c>
      <c r="F32" s="13">
        <v>5</v>
      </c>
      <c r="G32" s="13">
        <v>1</v>
      </c>
      <c r="H32" s="13">
        <v>28</v>
      </c>
      <c r="I32" s="13">
        <v>898</v>
      </c>
      <c r="J32" s="12"/>
      <c r="K32" s="7">
        <f t="shared" si="0"/>
        <v>4573</v>
      </c>
    </row>
    <row r="33" spans="1:11">
      <c r="A33" s="2">
        <f t="shared" si="1"/>
        <v>2012</v>
      </c>
      <c r="B33" s="2" t="s">
        <v>8</v>
      </c>
      <c r="C33" s="13">
        <v>3124</v>
      </c>
      <c r="D33" s="13">
        <v>480</v>
      </c>
      <c r="E33" s="147">
        <v>38</v>
      </c>
      <c r="F33" s="13">
        <v>5</v>
      </c>
      <c r="G33" s="13">
        <v>1</v>
      </c>
      <c r="H33" s="13">
        <v>28</v>
      </c>
      <c r="I33" s="13">
        <v>898</v>
      </c>
      <c r="J33" s="12"/>
      <c r="K33" s="7">
        <f t="shared" si="0"/>
        <v>4574</v>
      </c>
    </row>
    <row r="34" spans="1:11">
      <c r="A34" s="2">
        <f t="shared" si="1"/>
        <v>2012</v>
      </c>
      <c r="B34" s="2" t="s">
        <v>9</v>
      </c>
      <c r="C34" s="13">
        <v>3134</v>
      </c>
      <c r="D34" s="13">
        <v>480</v>
      </c>
      <c r="E34" s="147">
        <v>38</v>
      </c>
      <c r="F34" s="13">
        <v>5</v>
      </c>
      <c r="G34" s="13">
        <v>1</v>
      </c>
      <c r="H34" s="13">
        <v>28</v>
      </c>
      <c r="I34" s="13">
        <v>898</v>
      </c>
      <c r="J34" s="12"/>
      <c r="K34" s="7">
        <f t="shared" si="0"/>
        <v>4584</v>
      </c>
    </row>
    <row r="35" spans="1:11">
      <c r="A35" s="2">
        <f t="shared" si="1"/>
        <v>2012</v>
      </c>
      <c r="B35" s="2" t="s">
        <v>10</v>
      </c>
      <c r="C35" s="13">
        <v>3126</v>
      </c>
      <c r="D35" s="13">
        <v>480</v>
      </c>
      <c r="E35" s="147">
        <v>38</v>
      </c>
      <c r="F35" s="13">
        <v>5</v>
      </c>
      <c r="G35" s="13">
        <v>1</v>
      </c>
      <c r="H35" s="13">
        <v>28</v>
      </c>
      <c r="I35" s="13">
        <v>898</v>
      </c>
      <c r="J35" s="12"/>
      <c r="K35" s="7">
        <f t="shared" si="0"/>
        <v>4576</v>
      </c>
    </row>
    <row r="36" spans="1:11">
      <c r="A36" s="2">
        <f t="shared" si="1"/>
        <v>2012</v>
      </c>
      <c r="B36" s="2" t="s">
        <v>11</v>
      </c>
      <c r="C36" s="13">
        <v>3128</v>
      </c>
      <c r="D36" s="13">
        <v>480</v>
      </c>
      <c r="E36" s="147">
        <v>38</v>
      </c>
      <c r="F36" s="13">
        <v>5</v>
      </c>
      <c r="G36" s="13">
        <v>1</v>
      </c>
      <c r="H36" s="13">
        <v>28</v>
      </c>
      <c r="I36" s="13">
        <v>898</v>
      </c>
      <c r="J36" s="12"/>
      <c r="K36" s="7">
        <f t="shared" si="0"/>
        <v>4578</v>
      </c>
    </row>
    <row r="37" spans="1:11">
      <c r="A37" s="2">
        <f t="shared" si="1"/>
        <v>2012</v>
      </c>
      <c r="B37" s="2" t="s">
        <v>12</v>
      </c>
      <c r="C37" s="13">
        <v>3139</v>
      </c>
      <c r="D37" s="13">
        <v>480</v>
      </c>
      <c r="E37" s="147">
        <v>38</v>
      </c>
      <c r="F37" s="13">
        <v>5</v>
      </c>
      <c r="G37" s="13">
        <v>1</v>
      </c>
      <c r="H37" s="13">
        <v>28</v>
      </c>
      <c r="I37" s="13">
        <v>898</v>
      </c>
      <c r="J37" s="12"/>
      <c r="K37" s="7">
        <f t="shared" si="0"/>
        <v>4589</v>
      </c>
    </row>
    <row r="38" spans="1:11">
      <c r="A38" s="2">
        <f t="shared" si="1"/>
        <v>2012</v>
      </c>
      <c r="B38" s="2" t="s">
        <v>13</v>
      </c>
      <c r="C38" s="13">
        <v>3141</v>
      </c>
      <c r="D38" s="13">
        <v>479</v>
      </c>
      <c r="E38" s="147">
        <v>38</v>
      </c>
      <c r="F38" s="13">
        <v>5</v>
      </c>
      <c r="G38" s="13">
        <v>3</v>
      </c>
      <c r="H38" s="13">
        <v>28</v>
      </c>
      <c r="I38" s="13">
        <v>898</v>
      </c>
      <c r="J38" s="12"/>
      <c r="K38" s="7">
        <f t="shared" si="0"/>
        <v>4592</v>
      </c>
    </row>
    <row r="39" spans="1:11">
      <c r="A39" s="2">
        <f t="shared" si="1"/>
        <v>2013</v>
      </c>
      <c r="B39" s="2" t="s">
        <v>2</v>
      </c>
      <c r="C39" s="13">
        <v>3146</v>
      </c>
      <c r="D39" s="13">
        <v>479</v>
      </c>
      <c r="E39" s="147">
        <v>40</v>
      </c>
      <c r="F39" s="13">
        <v>5</v>
      </c>
      <c r="G39" s="13">
        <v>3</v>
      </c>
      <c r="H39" s="13">
        <v>28</v>
      </c>
      <c r="I39" s="13">
        <v>898</v>
      </c>
      <c r="J39" s="12"/>
      <c r="K39" s="7">
        <f t="shared" si="0"/>
        <v>4599</v>
      </c>
    </row>
    <row r="40" spans="1:11">
      <c r="A40" s="2">
        <f t="shared" si="1"/>
        <v>2013</v>
      </c>
      <c r="B40" s="2" t="s">
        <v>3</v>
      </c>
      <c r="C40" s="13">
        <v>3153</v>
      </c>
      <c r="D40" s="13">
        <v>479</v>
      </c>
      <c r="E40" s="147">
        <v>40</v>
      </c>
      <c r="F40" s="13">
        <v>5</v>
      </c>
      <c r="G40" s="13">
        <v>2</v>
      </c>
      <c r="H40" s="13">
        <v>28</v>
      </c>
      <c r="I40" s="13">
        <v>898</v>
      </c>
      <c r="J40" s="12"/>
      <c r="K40" s="7">
        <f t="shared" si="0"/>
        <v>4605</v>
      </c>
    </row>
    <row r="41" spans="1:11">
      <c r="A41" s="2">
        <f t="shared" si="1"/>
        <v>2013</v>
      </c>
      <c r="B41" s="2" t="s">
        <v>4</v>
      </c>
      <c r="C41" s="13">
        <v>3153</v>
      </c>
      <c r="D41" s="13">
        <v>475</v>
      </c>
      <c r="E41" s="147">
        <v>38</v>
      </c>
      <c r="F41" s="13">
        <v>6</v>
      </c>
      <c r="G41" s="13">
        <v>2</v>
      </c>
      <c r="H41" s="13">
        <v>28</v>
      </c>
      <c r="I41" s="13">
        <v>898</v>
      </c>
      <c r="J41" s="12"/>
      <c r="K41" s="7">
        <f t="shared" si="0"/>
        <v>4600</v>
      </c>
    </row>
    <row r="42" spans="1:11">
      <c r="A42" s="2">
        <f t="shared" si="1"/>
        <v>2013</v>
      </c>
      <c r="B42" s="2" t="s">
        <v>5</v>
      </c>
      <c r="C42" s="13">
        <v>3155</v>
      </c>
      <c r="D42" s="13">
        <v>476</v>
      </c>
      <c r="E42" s="147">
        <v>38</v>
      </c>
      <c r="F42" s="13">
        <v>6</v>
      </c>
      <c r="G42" s="13">
        <v>2</v>
      </c>
      <c r="H42" s="13">
        <v>28</v>
      </c>
      <c r="I42" s="13">
        <v>898</v>
      </c>
      <c r="J42" s="12"/>
      <c r="K42" s="7">
        <f t="shared" si="0"/>
        <v>4603</v>
      </c>
    </row>
    <row r="43" spans="1:11">
      <c r="A43" s="2">
        <f t="shared" si="1"/>
        <v>2013</v>
      </c>
      <c r="B43" s="2" t="s">
        <v>6</v>
      </c>
      <c r="C43" s="13">
        <v>3156</v>
      </c>
      <c r="D43" s="13">
        <v>475</v>
      </c>
      <c r="E43" s="147">
        <v>38</v>
      </c>
      <c r="F43" s="13">
        <v>6</v>
      </c>
      <c r="G43" s="13">
        <v>2</v>
      </c>
      <c r="H43" s="13">
        <v>28</v>
      </c>
      <c r="I43" s="13">
        <v>898</v>
      </c>
      <c r="J43" s="12"/>
      <c r="K43" s="7">
        <f t="shared" si="0"/>
        <v>4603</v>
      </c>
    </row>
    <row r="44" spans="1:11">
      <c r="A44" s="2">
        <f t="shared" si="1"/>
        <v>2013</v>
      </c>
      <c r="B44" s="2" t="s">
        <v>7</v>
      </c>
      <c r="C44" s="13">
        <v>3157</v>
      </c>
      <c r="D44" s="13">
        <v>473</v>
      </c>
      <c r="E44" s="147">
        <v>38</v>
      </c>
      <c r="F44" s="13">
        <v>6</v>
      </c>
      <c r="G44" s="13">
        <v>1</v>
      </c>
      <c r="H44" s="13">
        <v>28</v>
      </c>
      <c r="I44" s="13">
        <v>898</v>
      </c>
      <c r="J44" s="12"/>
      <c r="K44" s="7">
        <f t="shared" si="0"/>
        <v>4601</v>
      </c>
    </row>
    <row r="45" spans="1:11">
      <c r="A45" s="2">
        <f t="shared" si="1"/>
        <v>2013</v>
      </c>
      <c r="B45" s="2" t="s">
        <v>8</v>
      </c>
      <c r="C45" s="13">
        <v>3161</v>
      </c>
      <c r="D45" s="13">
        <v>473</v>
      </c>
      <c r="E45" s="147">
        <v>38</v>
      </c>
      <c r="F45" s="13">
        <v>6</v>
      </c>
      <c r="G45" s="13">
        <v>1</v>
      </c>
      <c r="H45" s="13">
        <v>28</v>
      </c>
      <c r="I45" s="13">
        <v>898</v>
      </c>
      <c r="J45" s="12"/>
      <c r="K45" s="7">
        <f t="shared" si="0"/>
        <v>4605</v>
      </c>
    </row>
    <row r="46" spans="1:11">
      <c r="A46" s="2">
        <f t="shared" si="1"/>
        <v>2013</v>
      </c>
      <c r="B46" s="2" t="s">
        <v>9</v>
      </c>
      <c r="C46" s="13">
        <v>3165</v>
      </c>
      <c r="D46" s="13">
        <v>472</v>
      </c>
      <c r="E46" s="147">
        <v>38</v>
      </c>
      <c r="F46" s="13">
        <v>6</v>
      </c>
      <c r="G46" s="13">
        <v>1</v>
      </c>
      <c r="H46" s="13">
        <v>28</v>
      </c>
      <c r="I46" s="13">
        <v>898</v>
      </c>
      <c r="J46" s="12"/>
      <c r="K46" s="7">
        <f t="shared" si="0"/>
        <v>4608</v>
      </c>
    </row>
    <row r="47" spans="1:11">
      <c r="A47" s="2">
        <f t="shared" ref="A47:A78" si="2">A35+1</f>
        <v>2013</v>
      </c>
      <c r="B47" s="2" t="s">
        <v>10</v>
      </c>
      <c r="C47" s="13">
        <v>3166</v>
      </c>
      <c r="D47" s="13">
        <v>472</v>
      </c>
      <c r="E47" s="147">
        <v>38</v>
      </c>
      <c r="F47" s="13">
        <v>6</v>
      </c>
      <c r="G47" s="13">
        <v>1</v>
      </c>
      <c r="H47" s="13">
        <v>28</v>
      </c>
      <c r="I47" s="13">
        <v>898</v>
      </c>
      <c r="J47" s="12"/>
      <c r="K47" s="7">
        <f t="shared" si="0"/>
        <v>4609</v>
      </c>
    </row>
    <row r="48" spans="1:11">
      <c r="A48" s="2">
        <f t="shared" si="2"/>
        <v>2013</v>
      </c>
      <c r="B48" s="2" t="s">
        <v>11</v>
      </c>
      <c r="C48" s="13">
        <v>3169</v>
      </c>
      <c r="D48" s="13">
        <v>473</v>
      </c>
      <c r="E48" s="147">
        <v>38</v>
      </c>
      <c r="F48" s="13">
        <v>6</v>
      </c>
      <c r="G48" s="13">
        <v>1</v>
      </c>
      <c r="H48" s="13">
        <v>28</v>
      </c>
      <c r="I48" s="13">
        <v>904</v>
      </c>
      <c r="J48" s="12"/>
      <c r="K48" s="7">
        <f t="shared" si="0"/>
        <v>4619</v>
      </c>
    </row>
    <row r="49" spans="1:11">
      <c r="A49" s="2">
        <f t="shared" si="2"/>
        <v>2013</v>
      </c>
      <c r="B49" s="2" t="s">
        <v>12</v>
      </c>
      <c r="C49" s="13">
        <v>3167</v>
      </c>
      <c r="D49" s="13">
        <v>472</v>
      </c>
      <c r="E49" s="147">
        <v>39</v>
      </c>
      <c r="F49" s="13">
        <v>6</v>
      </c>
      <c r="G49" s="13">
        <v>1</v>
      </c>
      <c r="H49" s="13">
        <v>28</v>
      </c>
      <c r="I49" s="13">
        <v>904</v>
      </c>
      <c r="J49" s="12"/>
      <c r="K49" s="7">
        <f t="shared" si="0"/>
        <v>4617</v>
      </c>
    </row>
    <row r="50" spans="1:11">
      <c r="A50" s="2">
        <f t="shared" si="2"/>
        <v>2013</v>
      </c>
      <c r="B50" s="2" t="s">
        <v>13</v>
      </c>
      <c r="C50" s="147">
        <v>3178</v>
      </c>
      <c r="D50" s="147">
        <v>472</v>
      </c>
      <c r="E50" s="147">
        <v>38</v>
      </c>
      <c r="F50" s="147">
        <v>6</v>
      </c>
      <c r="G50" s="147">
        <v>2</v>
      </c>
      <c r="H50" s="147">
        <v>28</v>
      </c>
      <c r="I50" s="147">
        <v>904</v>
      </c>
      <c r="J50" s="12"/>
      <c r="K50" s="7">
        <f t="shared" si="0"/>
        <v>4628</v>
      </c>
    </row>
    <row r="51" spans="1:11">
      <c r="A51" s="2">
        <f t="shared" si="2"/>
        <v>2014</v>
      </c>
      <c r="B51" s="2" t="s">
        <v>2</v>
      </c>
      <c r="C51" s="13">
        <v>3166</v>
      </c>
      <c r="D51" s="13">
        <v>472</v>
      </c>
      <c r="E51" s="147">
        <v>39</v>
      </c>
      <c r="F51" s="13">
        <v>6</v>
      </c>
      <c r="G51" s="13">
        <v>3</v>
      </c>
      <c r="H51" s="13">
        <v>28</v>
      </c>
      <c r="I51" s="13">
        <v>905</v>
      </c>
      <c r="J51" s="12"/>
      <c r="K51" s="7">
        <f t="shared" si="0"/>
        <v>4619</v>
      </c>
    </row>
    <row r="52" spans="1:11">
      <c r="A52" s="2">
        <f t="shared" si="2"/>
        <v>2014</v>
      </c>
      <c r="B52" s="2" t="s">
        <v>3</v>
      </c>
      <c r="C52" s="13">
        <v>3178</v>
      </c>
      <c r="D52" s="13">
        <v>471</v>
      </c>
      <c r="E52" s="147">
        <v>39</v>
      </c>
      <c r="F52" s="13">
        <v>6</v>
      </c>
      <c r="G52" s="13">
        <v>1</v>
      </c>
      <c r="H52" s="13">
        <v>28</v>
      </c>
      <c r="I52" s="13">
        <v>905</v>
      </c>
      <c r="J52" s="12"/>
      <c r="K52" s="7">
        <f t="shared" si="0"/>
        <v>4628</v>
      </c>
    </row>
    <row r="53" spans="1:11">
      <c r="A53" s="2">
        <f t="shared" si="2"/>
        <v>2014</v>
      </c>
      <c r="B53" s="2" t="s">
        <v>4</v>
      </c>
      <c r="C53" s="13">
        <v>3177</v>
      </c>
      <c r="D53" s="13">
        <v>471</v>
      </c>
      <c r="E53" s="147">
        <v>39</v>
      </c>
      <c r="F53" s="13">
        <v>6</v>
      </c>
      <c r="G53" s="13">
        <v>1</v>
      </c>
      <c r="H53" s="13">
        <v>28</v>
      </c>
      <c r="I53" s="13">
        <v>905</v>
      </c>
      <c r="J53" s="12"/>
      <c r="K53" s="7">
        <f t="shared" si="0"/>
        <v>4627</v>
      </c>
    </row>
    <row r="54" spans="1:11">
      <c r="A54" s="2">
        <f t="shared" si="2"/>
        <v>2014</v>
      </c>
      <c r="B54" s="2" t="s">
        <v>5</v>
      </c>
      <c r="C54" s="13">
        <v>3173</v>
      </c>
      <c r="D54" s="13">
        <v>471</v>
      </c>
      <c r="E54" s="147">
        <v>39</v>
      </c>
      <c r="F54" s="13">
        <v>6</v>
      </c>
      <c r="G54" s="13">
        <v>1</v>
      </c>
      <c r="H54" s="13">
        <v>28</v>
      </c>
      <c r="I54" s="13">
        <v>905</v>
      </c>
      <c r="J54" s="12"/>
      <c r="K54" s="7">
        <f t="shared" si="0"/>
        <v>4623</v>
      </c>
    </row>
    <row r="55" spans="1:11">
      <c r="A55" s="2">
        <f t="shared" si="2"/>
        <v>2014</v>
      </c>
      <c r="B55" s="2" t="s">
        <v>6</v>
      </c>
      <c r="C55" s="13">
        <v>3183</v>
      </c>
      <c r="D55" s="13">
        <v>471</v>
      </c>
      <c r="E55" s="147">
        <v>39</v>
      </c>
      <c r="F55" s="13">
        <v>6</v>
      </c>
      <c r="G55" s="13">
        <v>1</v>
      </c>
      <c r="H55" s="13">
        <v>28</v>
      </c>
      <c r="I55" s="13">
        <v>905</v>
      </c>
      <c r="J55" s="12"/>
      <c r="K55" s="7">
        <f t="shared" si="0"/>
        <v>4633</v>
      </c>
    </row>
    <row r="56" spans="1:11">
      <c r="A56" s="2">
        <f t="shared" si="2"/>
        <v>2014</v>
      </c>
      <c r="B56" s="2" t="s">
        <v>7</v>
      </c>
      <c r="C56" s="13">
        <v>3185</v>
      </c>
      <c r="D56" s="13">
        <v>470</v>
      </c>
      <c r="E56" s="147">
        <v>39</v>
      </c>
      <c r="F56" s="13">
        <v>6</v>
      </c>
      <c r="G56" s="13">
        <v>1</v>
      </c>
      <c r="H56" s="13">
        <v>28</v>
      </c>
      <c r="I56" s="13">
        <v>905</v>
      </c>
      <c r="J56" s="12"/>
      <c r="K56" s="7">
        <f t="shared" si="0"/>
        <v>4634</v>
      </c>
    </row>
    <row r="57" spans="1:11">
      <c r="A57" s="2">
        <f t="shared" si="2"/>
        <v>2014</v>
      </c>
      <c r="B57" s="2" t="s">
        <v>8</v>
      </c>
      <c r="C57" s="13">
        <v>3182</v>
      </c>
      <c r="D57" s="13">
        <v>472</v>
      </c>
      <c r="E57" s="147">
        <v>39</v>
      </c>
      <c r="F57" s="13">
        <v>6</v>
      </c>
      <c r="G57" s="13">
        <v>1</v>
      </c>
      <c r="H57" s="13">
        <v>28</v>
      </c>
      <c r="I57" s="13">
        <v>905</v>
      </c>
      <c r="J57" s="12"/>
      <c r="K57" s="7">
        <f t="shared" si="0"/>
        <v>4633</v>
      </c>
    </row>
    <row r="58" spans="1:11">
      <c r="A58" s="2">
        <f t="shared" si="2"/>
        <v>2014</v>
      </c>
      <c r="B58" s="2" t="s">
        <v>9</v>
      </c>
      <c r="C58" s="13">
        <v>3206</v>
      </c>
      <c r="D58" s="13">
        <v>474</v>
      </c>
      <c r="E58" s="147">
        <v>39</v>
      </c>
      <c r="F58" s="13">
        <v>6</v>
      </c>
      <c r="G58" s="13">
        <v>1</v>
      </c>
      <c r="H58" s="13">
        <v>28</v>
      </c>
      <c r="I58" s="13">
        <v>905</v>
      </c>
      <c r="J58" s="12"/>
      <c r="K58" s="7">
        <f t="shared" si="0"/>
        <v>4659</v>
      </c>
    </row>
    <row r="59" spans="1:11">
      <c r="A59" s="2">
        <f t="shared" si="2"/>
        <v>2014</v>
      </c>
      <c r="B59" s="2" t="s">
        <v>10</v>
      </c>
      <c r="C59" s="13">
        <v>3204</v>
      </c>
      <c r="D59" s="13">
        <v>475</v>
      </c>
      <c r="E59" s="147">
        <v>39</v>
      </c>
      <c r="F59" s="13">
        <v>6</v>
      </c>
      <c r="G59" s="13">
        <v>1</v>
      </c>
      <c r="H59" s="13">
        <v>28</v>
      </c>
      <c r="I59" s="13">
        <v>905</v>
      </c>
      <c r="J59" s="12"/>
      <c r="K59" s="7">
        <f t="shared" si="0"/>
        <v>4658</v>
      </c>
    </row>
    <row r="60" spans="1:11">
      <c r="A60" s="2">
        <f t="shared" si="2"/>
        <v>2014</v>
      </c>
      <c r="B60" s="2" t="s">
        <v>11</v>
      </c>
      <c r="C60" s="13">
        <v>3208</v>
      </c>
      <c r="D60" s="13">
        <v>474</v>
      </c>
      <c r="E60" s="147">
        <v>39</v>
      </c>
      <c r="F60" s="13">
        <v>6</v>
      </c>
      <c r="G60" s="13">
        <v>1</v>
      </c>
      <c r="H60" s="13">
        <v>28</v>
      </c>
      <c r="I60" s="13">
        <v>905</v>
      </c>
      <c r="J60" s="12"/>
      <c r="K60" s="7">
        <f t="shared" si="0"/>
        <v>4661</v>
      </c>
    </row>
    <row r="61" spans="1:11">
      <c r="A61" s="2">
        <f t="shared" si="2"/>
        <v>2014</v>
      </c>
      <c r="B61" s="2" t="s">
        <v>12</v>
      </c>
      <c r="C61" s="13">
        <v>3210</v>
      </c>
      <c r="D61" s="13">
        <v>478</v>
      </c>
      <c r="E61" s="147">
        <v>35</v>
      </c>
      <c r="F61" s="13">
        <v>5</v>
      </c>
      <c r="G61" s="13">
        <v>1</v>
      </c>
      <c r="H61" s="13">
        <v>28</v>
      </c>
      <c r="I61" s="13">
        <v>905</v>
      </c>
      <c r="J61" s="12"/>
      <c r="K61" s="7">
        <f t="shared" si="0"/>
        <v>4662</v>
      </c>
    </row>
    <row r="62" spans="1:11">
      <c r="A62" s="2">
        <f t="shared" si="2"/>
        <v>2014</v>
      </c>
      <c r="B62" s="2" t="s">
        <v>13</v>
      </c>
      <c r="C62" s="147">
        <v>3213</v>
      </c>
      <c r="D62" s="147">
        <v>478</v>
      </c>
      <c r="E62" s="147">
        <v>35</v>
      </c>
      <c r="F62" s="147">
        <v>5</v>
      </c>
      <c r="G62" s="147">
        <v>1</v>
      </c>
      <c r="H62" s="147">
        <v>27</v>
      </c>
      <c r="I62" s="147">
        <v>905</v>
      </c>
      <c r="J62" s="12"/>
      <c r="K62" s="7">
        <f t="shared" si="0"/>
        <v>4664</v>
      </c>
    </row>
    <row r="63" spans="1:11">
      <c r="A63" s="2">
        <f t="shared" si="2"/>
        <v>2015</v>
      </c>
      <c r="B63" s="2" t="s">
        <v>2</v>
      </c>
      <c r="C63" s="13">
        <v>3215</v>
      </c>
      <c r="D63" s="13">
        <v>478</v>
      </c>
      <c r="E63" s="147">
        <v>36</v>
      </c>
      <c r="F63" s="13">
        <v>5</v>
      </c>
      <c r="G63" s="13">
        <v>1</v>
      </c>
      <c r="H63" s="13">
        <v>27</v>
      </c>
      <c r="I63" s="13">
        <v>905</v>
      </c>
      <c r="J63" s="12"/>
      <c r="K63" s="7">
        <f t="shared" si="0"/>
        <v>4667</v>
      </c>
    </row>
    <row r="64" spans="1:11">
      <c r="A64" s="2">
        <f t="shared" si="2"/>
        <v>2015</v>
      </c>
      <c r="B64" s="2" t="s">
        <v>3</v>
      </c>
      <c r="C64" s="13">
        <v>3214</v>
      </c>
      <c r="D64" s="13">
        <v>478</v>
      </c>
      <c r="E64" s="147">
        <v>36</v>
      </c>
      <c r="F64" s="13">
        <v>5</v>
      </c>
      <c r="G64" s="13">
        <v>1</v>
      </c>
      <c r="H64" s="13">
        <v>27</v>
      </c>
      <c r="I64" s="13">
        <v>905</v>
      </c>
      <c r="J64" s="12"/>
      <c r="K64" s="7">
        <f t="shared" si="0"/>
        <v>4666</v>
      </c>
    </row>
    <row r="65" spans="1:11">
      <c r="A65" s="2">
        <f t="shared" si="2"/>
        <v>2015</v>
      </c>
      <c r="B65" s="2" t="s">
        <v>4</v>
      </c>
      <c r="C65" s="13">
        <v>3216</v>
      </c>
      <c r="D65" s="13">
        <v>479</v>
      </c>
      <c r="E65" s="147">
        <v>36</v>
      </c>
      <c r="F65" s="13">
        <v>5</v>
      </c>
      <c r="G65" s="13">
        <v>1</v>
      </c>
      <c r="H65" s="13">
        <v>27</v>
      </c>
      <c r="I65" s="13">
        <v>905</v>
      </c>
      <c r="J65" s="12"/>
      <c r="K65" s="7">
        <f t="shared" si="0"/>
        <v>4669</v>
      </c>
    </row>
    <row r="66" spans="1:11">
      <c r="A66" s="2">
        <f t="shared" si="2"/>
        <v>2015</v>
      </c>
      <c r="B66" s="2" t="s">
        <v>5</v>
      </c>
      <c r="C66" s="13">
        <v>3216</v>
      </c>
      <c r="D66" s="13">
        <v>480</v>
      </c>
      <c r="E66" s="147">
        <v>36</v>
      </c>
      <c r="F66" s="13">
        <v>5</v>
      </c>
      <c r="G66" s="13">
        <v>1</v>
      </c>
      <c r="H66" s="13">
        <v>27</v>
      </c>
      <c r="I66" s="13">
        <v>905</v>
      </c>
      <c r="J66" s="12"/>
      <c r="K66" s="7">
        <f t="shared" si="0"/>
        <v>4670</v>
      </c>
    </row>
    <row r="67" spans="1:11">
      <c r="A67" s="2">
        <f t="shared" si="2"/>
        <v>2015</v>
      </c>
      <c r="B67" s="2" t="s">
        <v>6</v>
      </c>
      <c r="C67" s="13">
        <v>3203</v>
      </c>
      <c r="D67" s="13">
        <v>475</v>
      </c>
      <c r="E67" s="147">
        <v>36</v>
      </c>
      <c r="F67" s="13">
        <v>5</v>
      </c>
      <c r="G67" s="13">
        <v>1</v>
      </c>
      <c r="H67" s="13">
        <v>27</v>
      </c>
      <c r="I67" s="13">
        <v>905</v>
      </c>
      <c r="J67" s="12"/>
      <c r="K67" s="7">
        <f t="shared" si="0"/>
        <v>4652</v>
      </c>
    </row>
    <row r="68" spans="1:11">
      <c r="A68" s="2">
        <f t="shared" si="2"/>
        <v>2015</v>
      </c>
      <c r="B68" s="2" t="s">
        <v>7</v>
      </c>
      <c r="C68" s="13">
        <v>3209</v>
      </c>
      <c r="D68" s="13">
        <v>475</v>
      </c>
      <c r="E68" s="147">
        <v>36</v>
      </c>
      <c r="F68" s="13">
        <v>5</v>
      </c>
      <c r="G68" s="13">
        <v>1</v>
      </c>
      <c r="H68" s="13">
        <v>27</v>
      </c>
      <c r="I68" s="13">
        <v>905</v>
      </c>
      <c r="J68" s="12"/>
      <c r="K68" s="7">
        <f t="shared" ref="K68:K122" si="3">SUM(C68:I68)</f>
        <v>4658</v>
      </c>
    </row>
    <row r="69" spans="1:11">
      <c r="A69" s="2">
        <f t="shared" si="2"/>
        <v>2015</v>
      </c>
      <c r="B69" s="2" t="s">
        <v>8</v>
      </c>
      <c r="C69" s="13">
        <v>3210</v>
      </c>
      <c r="D69" s="13">
        <v>476</v>
      </c>
      <c r="E69" s="147">
        <v>36</v>
      </c>
      <c r="F69" s="13">
        <v>5</v>
      </c>
      <c r="G69" s="13">
        <v>1</v>
      </c>
      <c r="H69" s="13">
        <v>27</v>
      </c>
      <c r="I69" s="13">
        <v>905</v>
      </c>
      <c r="J69" s="12"/>
      <c r="K69" s="7">
        <f t="shared" si="3"/>
        <v>4660</v>
      </c>
    </row>
    <row r="70" spans="1:11">
      <c r="A70" s="2">
        <f t="shared" si="2"/>
        <v>2015</v>
      </c>
      <c r="B70" s="2" t="s">
        <v>9</v>
      </c>
      <c r="C70" s="13">
        <v>3207</v>
      </c>
      <c r="D70" s="13">
        <v>477</v>
      </c>
      <c r="E70" s="147">
        <v>36</v>
      </c>
      <c r="F70" s="13">
        <v>5</v>
      </c>
      <c r="G70" s="13">
        <v>1</v>
      </c>
      <c r="H70" s="13">
        <v>27</v>
      </c>
      <c r="I70" s="13">
        <v>905</v>
      </c>
      <c r="J70" s="12"/>
      <c r="K70" s="7">
        <f t="shared" si="3"/>
        <v>4658</v>
      </c>
    </row>
    <row r="71" spans="1:11">
      <c r="A71" s="2">
        <f t="shared" si="2"/>
        <v>2015</v>
      </c>
      <c r="B71" s="2" t="s">
        <v>10</v>
      </c>
      <c r="C71" s="13">
        <v>3208</v>
      </c>
      <c r="D71" s="13">
        <v>475</v>
      </c>
      <c r="E71" s="147">
        <v>36</v>
      </c>
      <c r="F71" s="13">
        <v>5</v>
      </c>
      <c r="G71" s="13">
        <v>1</v>
      </c>
      <c r="H71" s="13">
        <v>27</v>
      </c>
      <c r="I71" s="13">
        <v>905</v>
      </c>
      <c r="J71" s="12"/>
      <c r="K71" s="7">
        <f t="shared" si="3"/>
        <v>4657</v>
      </c>
    </row>
    <row r="72" spans="1:11">
      <c r="A72" s="2">
        <f t="shared" si="2"/>
        <v>2015</v>
      </c>
      <c r="B72" s="2" t="s">
        <v>11</v>
      </c>
      <c r="C72" s="13">
        <v>3213</v>
      </c>
      <c r="D72" s="13">
        <v>467</v>
      </c>
      <c r="E72" s="147">
        <v>35</v>
      </c>
      <c r="F72" s="13">
        <v>5</v>
      </c>
      <c r="G72" s="13">
        <v>1</v>
      </c>
      <c r="H72" s="13">
        <v>26</v>
      </c>
      <c r="I72" s="13">
        <v>905</v>
      </c>
      <c r="J72" s="12"/>
      <c r="K72" s="7">
        <f t="shared" si="3"/>
        <v>4652</v>
      </c>
    </row>
    <row r="73" spans="1:11">
      <c r="A73" s="2">
        <f t="shared" si="2"/>
        <v>2015</v>
      </c>
      <c r="B73" s="2" t="s">
        <v>12</v>
      </c>
      <c r="C73" s="13">
        <v>3214</v>
      </c>
      <c r="D73" s="13">
        <v>466</v>
      </c>
      <c r="E73" s="147">
        <v>35</v>
      </c>
      <c r="F73" s="13">
        <v>5</v>
      </c>
      <c r="G73" s="13">
        <v>1</v>
      </c>
      <c r="H73" s="13">
        <v>25</v>
      </c>
      <c r="I73" s="13">
        <v>905</v>
      </c>
      <c r="J73" s="12"/>
      <c r="K73" s="7">
        <f t="shared" si="3"/>
        <v>4651</v>
      </c>
    </row>
    <row r="74" spans="1:11">
      <c r="A74" s="2">
        <f t="shared" si="2"/>
        <v>2015</v>
      </c>
      <c r="B74" s="2" t="s">
        <v>13</v>
      </c>
      <c r="C74" s="147">
        <v>3218</v>
      </c>
      <c r="D74" s="147">
        <v>467</v>
      </c>
      <c r="E74" s="147">
        <v>35</v>
      </c>
      <c r="F74" s="147">
        <v>5</v>
      </c>
      <c r="G74" s="147">
        <v>1</v>
      </c>
      <c r="H74" s="147">
        <v>24</v>
      </c>
      <c r="I74" s="147">
        <v>905</v>
      </c>
      <c r="J74" s="12"/>
      <c r="K74" s="7">
        <f t="shared" si="3"/>
        <v>4655</v>
      </c>
    </row>
    <row r="75" spans="1:11">
      <c r="A75" s="2">
        <f t="shared" si="2"/>
        <v>2016</v>
      </c>
      <c r="B75" s="2" t="s">
        <v>2</v>
      </c>
      <c r="C75" s="13">
        <v>3219</v>
      </c>
      <c r="D75" s="13">
        <v>467</v>
      </c>
      <c r="E75" s="147">
        <v>35</v>
      </c>
      <c r="F75" s="13">
        <v>5</v>
      </c>
      <c r="G75" s="13">
        <v>3</v>
      </c>
      <c r="H75" s="13">
        <v>24</v>
      </c>
      <c r="I75" s="13">
        <v>905</v>
      </c>
      <c r="J75" s="11"/>
      <c r="K75" s="7">
        <f t="shared" si="3"/>
        <v>4658</v>
      </c>
    </row>
    <row r="76" spans="1:11">
      <c r="A76" s="2">
        <f t="shared" si="2"/>
        <v>2016</v>
      </c>
      <c r="B76" s="2" t="s">
        <v>3</v>
      </c>
      <c r="C76" s="13">
        <v>3221</v>
      </c>
      <c r="D76" s="13">
        <v>466</v>
      </c>
      <c r="E76" s="147">
        <v>35</v>
      </c>
      <c r="F76" s="13">
        <v>5</v>
      </c>
      <c r="G76" s="13">
        <v>1</v>
      </c>
      <c r="H76" s="13">
        <v>24</v>
      </c>
      <c r="I76" s="13">
        <v>905</v>
      </c>
      <c r="J76" s="11"/>
      <c r="K76" s="7">
        <f t="shared" si="3"/>
        <v>4657</v>
      </c>
    </row>
    <row r="77" spans="1:11">
      <c r="A77" s="2">
        <f t="shared" si="2"/>
        <v>2016</v>
      </c>
      <c r="B77" s="2" t="s">
        <v>4</v>
      </c>
      <c r="C77" s="13">
        <v>3219</v>
      </c>
      <c r="D77" s="13">
        <v>466</v>
      </c>
      <c r="E77" s="147">
        <v>35</v>
      </c>
      <c r="F77" s="13">
        <v>5</v>
      </c>
      <c r="G77" s="13">
        <v>1</v>
      </c>
      <c r="H77" s="13">
        <v>24</v>
      </c>
      <c r="I77" s="13">
        <v>905</v>
      </c>
      <c r="J77" s="11"/>
      <c r="K77" s="7">
        <f t="shared" si="3"/>
        <v>4655</v>
      </c>
    </row>
    <row r="78" spans="1:11">
      <c r="A78" s="2">
        <f t="shared" si="2"/>
        <v>2016</v>
      </c>
      <c r="B78" s="2" t="s">
        <v>5</v>
      </c>
      <c r="C78" s="13">
        <v>3221</v>
      </c>
      <c r="D78" s="13">
        <v>472</v>
      </c>
      <c r="E78" s="147">
        <v>36</v>
      </c>
      <c r="F78" s="13">
        <v>5</v>
      </c>
      <c r="G78" s="13">
        <v>1</v>
      </c>
      <c r="H78" s="13">
        <v>24</v>
      </c>
      <c r="I78" s="13">
        <v>905</v>
      </c>
      <c r="J78" s="11"/>
      <c r="K78" s="7">
        <f t="shared" si="3"/>
        <v>4664</v>
      </c>
    </row>
    <row r="79" spans="1:11">
      <c r="A79" s="2">
        <f t="shared" ref="A79:A110" si="4">A67+1</f>
        <v>2016</v>
      </c>
      <c r="B79" s="2" t="s">
        <v>6</v>
      </c>
      <c r="C79" s="13">
        <v>3220</v>
      </c>
      <c r="D79" s="13">
        <v>473</v>
      </c>
      <c r="E79" s="147">
        <v>36</v>
      </c>
      <c r="F79" s="13">
        <v>5</v>
      </c>
      <c r="G79" s="13">
        <v>1</v>
      </c>
      <c r="H79" s="13">
        <v>24</v>
      </c>
      <c r="I79" s="13">
        <v>905</v>
      </c>
      <c r="J79" s="11"/>
      <c r="K79" s="7">
        <f t="shared" si="3"/>
        <v>4664</v>
      </c>
    </row>
    <row r="80" spans="1:11">
      <c r="A80" s="2">
        <f t="shared" si="4"/>
        <v>2016</v>
      </c>
      <c r="B80" s="2" t="s">
        <v>7</v>
      </c>
      <c r="C80" s="13">
        <v>3214</v>
      </c>
      <c r="D80" s="13">
        <v>472</v>
      </c>
      <c r="E80" s="147">
        <v>36</v>
      </c>
      <c r="F80" s="13">
        <v>5</v>
      </c>
      <c r="G80" s="13">
        <v>1</v>
      </c>
      <c r="H80" s="13">
        <v>24</v>
      </c>
      <c r="I80" s="13">
        <v>905</v>
      </c>
      <c r="J80" s="11"/>
      <c r="K80" s="7">
        <f t="shared" si="3"/>
        <v>4657</v>
      </c>
    </row>
    <row r="81" spans="1:11">
      <c r="A81" s="2">
        <f t="shared" si="4"/>
        <v>2016</v>
      </c>
      <c r="B81" s="2" t="s">
        <v>8</v>
      </c>
      <c r="C81" s="13">
        <v>3214</v>
      </c>
      <c r="D81" s="13">
        <v>473</v>
      </c>
      <c r="E81" s="147">
        <v>36</v>
      </c>
      <c r="F81" s="13">
        <v>5</v>
      </c>
      <c r="G81" s="13">
        <v>1</v>
      </c>
      <c r="H81" s="13">
        <v>24</v>
      </c>
      <c r="I81" s="13">
        <v>905</v>
      </c>
      <c r="J81" s="11"/>
      <c r="K81" s="7">
        <f t="shared" si="3"/>
        <v>4658</v>
      </c>
    </row>
    <row r="82" spans="1:11">
      <c r="A82" s="2">
        <f t="shared" si="4"/>
        <v>2016</v>
      </c>
      <c r="B82" s="2" t="s">
        <v>9</v>
      </c>
      <c r="C82" s="13">
        <v>3214</v>
      </c>
      <c r="D82" s="13">
        <v>472</v>
      </c>
      <c r="E82" s="147">
        <v>36</v>
      </c>
      <c r="F82" s="13">
        <v>5</v>
      </c>
      <c r="G82" s="13">
        <v>2</v>
      </c>
      <c r="H82" s="13">
        <v>24</v>
      </c>
      <c r="I82" s="13">
        <v>910</v>
      </c>
      <c r="J82" s="11"/>
      <c r="K82" s="7">
        <f t="shared" si="3"/>
        <v>4663</v>
      </c>
    </row>
    <row r="83" spans="1:11">
      <c r="A83" s="2">
        <f t="shared" si="4"/>
        <v>2016</v>
      </c>
      <c r="B83" s="2" t="s">
        <v>10</v>
      </c>
      <c r="C83" s="13">
        <v>3213</v>
      </c>
      <c r="D83" s="13">
        <v>471</v>
      </c>
      <c r="E83" s="147">
        <v>36</v>
      </c>
      <c r="F83" s="13">
        <v>5</v>
      </c>
      <c r="G83" s="13">
        <v>2</v>
      </c>
      <c r="H83" s="13">
        <v>24</v>
      </c>
      <c r="I83" s="13">
        <v>910</v>
      </c>
      <c r="J83" s="11"/>
      <c r="K83" s="7">
        <f t="shared" si="3"/>
        <v>4661</v>
      </c>
    </row>
    <row r="84" spans="1:11">
      <c r="A84" s="2">
        <f t="shared" si="4"/>
        <v>2016</v>
      </c>
      <c r="B84" s="2" t="s">
        <v>11</v>
      </c>
      <c r="C84" s="13">
        <v>3218</v>
      </c>
      <c r="D84" s="13">
        <v>466</v>
      </c>
      <c r="E84" s="147">
        <v>36</v>
      </c>
      <c r="F84" s="13">
        <v>5</v>
      </c>
      <c r="G84" s="13">
        <v>2</v>
      </c>
      <c r="H84" s="13">
        <v>24</v>
      </c>
      <c r="I84" s="13">
        <v>910</v>
      </c>
      <c r="J84" s="11"/>
      <c r="K84" s="7">
        <f t="shared" si="3"/>
        <v>4661</v>
      </c>
    </row>
    <row r="85" spans="1:11">
      <c r="A85" s="2">
        <f t="shared" si="4"/>
        <v>2016</v>
      </c>
      <c r="B85" s="2" t="s">
        <v>12</v>
      </c>
      <c r="C85" s="13">
        <v>3227</v>
      </c>
      <c r="D85" s="13">
        <v>467</v>
      </c>
      <c r="E85" s="147">
        <v>35</v>
      </c>
      <c r="F85" s="13">
        <v>5</v>
      </c>
      <c r="G85" s="13">
        <v>2</v>
      </c>
      <c r="H85" s="13">
        <v>24</v>
      </c>
      <c r="I85" s="13">
        <v>910</v>
      </c>
      <c r="J85" s="11"/>
      <c r="K85" s="7">
        <f t="shared" si="3"/>
        <v>4670</v>
      </c>
    </row>
    <row r="86" spans="1:11">
      <c r="A86" s="2">
        <f t="shared" si="4"/>
        <v>2016</v>
      </c>
      <c r="B86" s="2" t="s">
        <v>13</v>
      </c>
      <c r="C86" s="147">
        <v>3232</v>
      </c>
      <c r="D86" s="147">
        <v>467</v>
      </c>
      <c r="E86" s="147">
        <v>35</v>
      </c>
      <c r="F86" s="147">
        <v>5</v>
      </c>
      <c r="G86" s="147">
        <v>2</v>
      </c>
      <c r="H86" s="147">
        <v>24</v>
      </c>
      <c r="I86" s="147">
        <v>910</v>
      </c>
      <c r="J86" s="11"/>
      <c r="K86" s="7">
        <f t="shared" si="3"/>
        <v>4675</v>
      </c>
    </row>
    <row r="87" spans="1:11">
      <c r="A87" s="2">
        <f t="shared" si="4"/>
        <v>2017</v>
      </c>
      <c r="B87" s="2" t="s">
        <v>2</v>
      </c>
      <c r="C87" s="13">
        <v>3230</v>
      </c>
      <c r="D87" s="13">
        <v>467</v>
      </c>
      <c r="E87" s="147">
        <v>35</v>
      </c>
      <c r="F87" s="13">
        <v>5</v>
      </c>
      <c r="G87" s="13">
        <v>2</v>
      </c>
      <c r="H87" s="13">
        <v>24</v>
      </c>
      <c r="I87" s="13">
        <v>910</v>
      </c>
      <c r="J87" s="11"/>
      <c r="K87" s="7">
        <f t="shared" si="3"/>
        <v>4673</v>
      </c>
    </row>
    <row r="88" spans="1:11">
      <c r="A88" s="2">
        <f t="shared" si="4"/>
        <v>2017</v>
      </c>
      <c r="B88" s="2" t="s">
        <v>3</v>
      </c>
      <c r="C88" s="13">
        <v>3229</v>
      </c>
      <c r="D88" s="13">
        <v>467</v>
      </c>
      <c r="E88" s="147">
        <v>35</v>
      </c>
      <c r="F88" s="13">
        <v>5</v>
      </c>
      <c r="G88" s="13">
        <v>2</v>
      </c>
      <c r="H88" s="13">
        <v>23</v>
      </c>
      <c r="I88" s="13">
        <v>910</v>
      </c>
      <c r="J88" s="11"/>
      <c r="K88" s="7">
        <f t="shared" si="3"/>
        <v>4671</v>
      </c>
    </row>
    <row r="89" spans="1:11">
      <c r="A89" s="2">
        <f t="shared" si="4"/>
        <v>2017</v>
      </c>
      <c r="B89" s="2" t="s">
        <v>4</v>
      </c>
      <c r="C89" s="13">
        <v>3238</v>
      </c>
      <c r="D89" s="13">
        <v>467</v>
      </c>
      <c r="E89" s="147">
        <v>35</v>
      </c>
      <c r="F89" s="13">
        <v>5</v>
      </c>
      <c r="G89" s="13">
        <v>2</v>
      </c>
      <c r="H89" s="13">
        <v>23</v>
      </c>
      <c r="I89" s="13">
        <v>908</v>
      </c>
      <c r="J89" s="11"/>
      <c r="K89" s="7">
        <f t="shared" si="3"/>
        <v>4678</v>
      </c>
    </row>
    <row r="90" spans="1:11">
      <c r="A90" s="2">
        <f t="shared" si="4"/>
        <v>2017</v>
      </c>
      <c r="B90" s="2" t="s">
        <v>5</v>
      </c>
      <c r="C90" s="13">
        <v>3244</v>
      </c>
      <c r="D90" s="13">
        <v>474</v>
      </c>
      <c r="E90" s="147">
        <v>36</v>
      </c>
      <c r="F90" s="13">
        <v>5</v>
      </c>
      <c r="G90" s="13">
        <v>2</v>
      </c>
      <c r="H90" s="13">
        <v>23</v>
      </c>
      <c r="I90" s="13">
        <v>908</v>
      </c>
      <c r="J90" s="11"/>
      <c r="K90" s="7">
        <f t="shared" si="3"/>
        <v>4692</v>
      </c>
    </row>
    <row r="91" spans="1:11">
      <c r="A91" s="2">
        <f t="shared" si="4"/>
        <v>2017</v>
      </c>
      <c r="B91" s="2" t="s">
        <v>6</v>
      </c>
      <c r="C91" s="13">
        <v>3246</v>
      </c>
      <c r="D91" s="13">
        <v>477</v>
      </c>
      <c r="E91" s="147">
        <v>35</v>
      </c>
      <c r="F91" s="13">
        <v>5</v>
      </c>
      <c r="G91" s="13">
        <v>2</v>
      </c>
      <c r="H91" s="13">
        <v>23</v>
      </c>
      <c r="I91" s="13">
        <v>908</v>
      </c>
      <c r="J91" s="11"/>
      <c r="K91" s="7">
        <f t="shared" si="3"/>
        <v>4696</v>
      </c>
    </row>
    <row r="92" spans="1:11">
      <c r="A92" s="2">
        <f t="shared" si="4"/>
        <v>2017</v>
      </c>
      <c r="B92" s="2" t="s">
        <v>7</v>
      </c>
      <c r="C92" s="13">
        <v>3242</v>
      </c>
      <c r="D92" s="13">
        <v>476</v>
      </c>
      <c r="E92" s="147">
        <v>35</v>
      </c>
      <c r="F92" s="13">
        <v>5</v>
      </c>
      <c r="G92" s="13">
        <v>2</v>
      </c>
      <c r="H92" s="13">
        <v>23</v>
      </c>
      <c r="I92" s="13">
        <v>908</v>
      </c>
      <c r="J92" s="11"/>
      <c r="K92" s="7">
        <f t="shared" si="3"/>
        <v>4691</v>
      </c>
    </row>
    <row r="93" spans="1:11">
      <c r="A93" s="2">
        <f t="shared" si="4"/>
        <v>2017</v>
      </c>
      <c r="B93" s="2" t="s">
        <v>8</v>
      </c>
      <c r="C93" s="13">
        <v>3249</v>
      </c>
      <c r="D93" s="13">
        <v>477</v>
      </c>
      <c r="E93" s="147">
        <v>35</v>
      </c>
      <c r="F93" s="13">
        <v>5</v>
      </c>
      <c r="G93" s="13">
        <v>2</v>
      </c>
      <c r="H93" s="13">
        <v>23</v>
      </c>
      <c r="I93" s="13">
        <v>908</v>
      </c>
      <c r="J93" s="11"/>
      <c r="K93" s="7">
        <f t="shared" si="3"/>
        <v>4699</v>
      </c>
    </row>
    <row r="94" spans="1:11">
      <c r="A94" s="2">
        <f t="shared" si="4"/>
        <v>2017</v>
      </c>
      <c r="B94" s="2" t="s">
        <v>9</v>
      </c>
      <c r="C94" s="13">
        <v>3252</v>
      </c>
      <c r="D94" s="13">
        <v>475</v>
      </c>
      <c r="E94" s="147">
        <v>35</v>
      </c>
      <c r="F94" s="13">
        <v>5</v>
      </c>
      <c r="G94" s="13">
        <v>2</v>
      </c>
      <c r="H94" s="13">
        <v>23</v>
      </c>
      <c r="I94" s="13">
        <v>908</v>
      </c>
      <c r="J94" s="11"/>
      <c r="K94" s="7">
        <f t="shared" si="3"/>
        <v>4700</v>
      </c>
    </row>
    <row r="95" spans="1:11">
      <c r="A95" s="2">
        <f t="shared" si="4"/>
        <v>2017</v>
      </c>
      <c r="B95" s="2" t="s">
        <v>10</v>
      </c>
      <c r="C95" s="13">
        <v>3249</v>
      </c>
      <c r="D95" s="13">
        <v>475</v>
      </c>
      <c r="E95" s="147">
        <v>35</v>
      </c>
      <c r="F95" s="13">
        <v>5</v>
      </c>
      <c r="G95" s="13">
        <v>2</v>
      </c>
      <c r="H95" s="13">
        <v>23</v>
      </c>
      <c r="I95" s="13">
        <v>908</v>
      </c>
      <c r="J95" s="11"/>
      <c r="K95" s="7">
        <f t="shared" si="3"/>
        <v>4697</v>
      </c>
    </row>
    <row r="96" spans="1:11">
      <c r="A96" s="2">
        <f t="shared" si="4"/>
        <v>2017</v>
      </c>
      <c r="B96" s="2" t="s">
        <v>11</v>
      </c>
      <c r="C96" s="13">
        <v>3252</v>
      </c>
      <c r="D96" s="13">
        <v>475</v>
      </c>
      <c r="E96" s="147">
        <v>35</v>
      </c>
      <c r="F96" s="13">
        <v>5</v>
      </c>
      <c r="G96" s="13">
        <v>2</v>
      </c>
      <c r="H96" s="13">
        <v>23</v>
      </c>
      <c r="I96" s="13">
        <v>908</v>
      </c>
      <c r="J96" s="11"/>
      <c r="K96" s="7">
        <f t="shared" si="3"/>
        <v>4700</v>
      </c>
    </row>
    <row r="97" spans="1:11">
      <c r="A97" s="2">
        <f t="shared" si="4"/>
        <v>2017</v>
      </c>
      <c r="B97" s="2" t="s">
        <v>12</v>
      </c>
      <c r="C97" s="13">
        <v>3256</v>
      </c>
      <c r="D97" s="13">
        <v>472</v>
      </c>
      <c r="E97" s="147">
        <v>33</v>
      </c>
      <c r="F97" s="13">
        <v>5</v>
      </c>
      <c r="G97" s="13">
        <v>2</v>
      </c>
      <c r="H97" s="13">
        <v>23</v>
      </c>
      <c r="I97" s="13">
        <v>908</v>
      </c>
      <c r="J97" s="11"/>
      <c r="K97" s="7">
        <f t="shared" si="3"/>
        <v>4699</v>
      </c>
    </row>
    <row r="98" spans="1:11">
      <c r="A98" s="2">
        <f t="shared" si="4"/>
        <v>2017</v>
      </c>
      <c r="B98" s="2" t="s">
        <v>13</v>
      </c>
      <c r="C98" s="13">
        <v>3261</v>
      </c>
      <c r="D98" s="13">
        <v>471</v>
      </c>
      <c r="E98" s="147">
        <v>33</v>
      </c>
      <c r="F98" s="13">
        <v>5</v>
      </c>
      <c r="G98" s="13">
        <v>2</v>
      </c>
      <c r="H98" s="13">
        <v>23</v>
      </c>
      <c r="I98" s="13">
        <v>908</v>
      </c>
      <c r="J98" s="11"/>
      <c r="K98" s="7">
        <f t="shared" si="3"/>
        <v>4703</v>
      </c>
    </row>
    <row r="99" spans="1:11">
      <c r="A99" s="2">
        <f t="shared" si="4"/>
        <v>2018</v>
      </c>
      <c r="B99" s="2" t="s">
        <v>2</v>
      </c>
      <c r="C99" s="13">
        <v>3266</v>
      </c>
      <c r="D99" s="13">
        <v>468</v>
      </c>
      <c r="E99" s="147">
        <v>33</v>
      </c>
      <c r="F99" s="13">
        <v>5</v>
      </c>
      <c r="G99" s="13">
        <v>2</v>
      </c>
      <c r="H99" s="13">
        <v>23</v>
      </c>
      <c r="I99" s="13">
        <v>908</v>
      </c>
      <c r="J99" s="13"/>
      <c r="K99" s="7">
        <f t="shared" si="3"/>
        <v>4705</v>
      </c>
    </row>
    <row r="100" spans="1:11">
      <c r="A100" s="2">
        <f t="shared" si="4"/>
        <v>2018</v>
      </c>
      <c r="B100" s="2" t="s">
        <v>3</v>
      </c>
      <c r="C100" s="13">
        <v>3266</v>
      </c>
      <c r="D100" s="13">
        <v>468</v>
      </c>
      <c r="E100" s="147">
        <v>33</v>
      </c>
      <c r="F100" s="13">
        <v>5</v>
      </c>
      <c r="G100" s="13">
        <v>4</v>
      </c>
      <c r="H100" s="13">
        <v>23</v>
      </c>
      <c r="I100" s="13">
        <v>908</v>
      </c>
      <c r="J100" s="13"/>
      <c r="K100" s="7">
        <f t="shared" si="3"/>
        <v>4707</v>
      </c>
    </row>
    <row r="101" spans="1:11">
      <c r="A101" s="2">
        <f t="shared" si="4"/>
        <v>2018</v>
      </c>
      <c r="B101" s="2" t="s">
        <v>4</v>
      </c>
      <c r="C101" s="13">
        <v>3265</v>
      </c>
      <c r="D101" s="13">
        <v>469</v>
      </c>
      <c r="E101" s="147">
        <v>33</v>
      </c>
      <c r="F101" s="13">
        <v>5</v>
      </c>
      <c r="G101" s="13">
        <v>2</v>
      </c>
      <c r="H101" s="13">
        <v>23</v>
      </c>
      <c r="I101" s="13">
        <v>908</v>
      </c>
      <c r="J101" s="13"/>
      <c r="K101" s="7">
        <f t="shared" si="3"/>
        <v>4705</v>
      </c>
    </row>
    <row r="102" spans="1:11">
      <c r="A102" s="2">
        <f t="shared" si="4"/>
        <v>2018</v>
      </c>
      <c r="B102" s="2" t="s">
        <v>5</v>
      </c>
      <c r="C102" s="13">
        <v>3268</v>
      </c>
      <c r="D102" s="13">
        <v>471</v>
      </c>
      <c r="E102" s="147">
        <v>33</v>
      </c>
      <c r="F102" s="13">
        <v>5</v>
      </c>
      <c r="G102" s="13">
        <v>2</v>
      </c>
      <c r="H102" s="13">
        <v>23</v>
      </c>
      <c r="I102" s="13">
        <v>908</v>
      </c>
      <c r="J102" s="13"/>
      <c r="K102" s="7">
        <f t="shared" si="3"/>
        <v>4710</v>
      </c>
    </row>
    <row r="103" spans="1:11">
      <c r="A103" s="2">
        <f t="shared" si="4"/>
        <v>2018</v>
      </c>
      <c r="B103" s="2" t="s">
        <v>6</v>
      </c>
      <c r="C103" s="13">
        <v>3279</v>
      </c>
      <c r="D103" s="13">
        <v>470</v>
      </c>
      <c r="E103" s="147">
        <v>33</v>
      </c>
      <c r="F103" s="13">
        <v>5</v>
      </c>
      <c r="G103" s="13">
        <v>2</v>
      </c>
      <c r="H103" s="13">
        <v>23</v>
      </c>
      <c r="I103" s="13">
        <v>908</v>
      </c>
      <c r="J103" s="13"/>
      <c r="K103" s="7">
        <f t="shared" si="3"/>
        <v>4720</v>
      </c>
    </row>
    <row r="104" spans="1:11">
      <c r="A104" s="2">
        <f t="shared" si="4"/>
        <v>2018</v>
      </c>
      <c r="B104" s="2" t="s">
        <v>7</v>
      </c>
      <c r="C104" s="13">
        <v>3273</v>
      </c>
      <c r="D104" s="13">
        <v>471</v>
      </c>
      <c r="E104" s="147">
        <v>34</v>
      </c>
      <c r="F104" s="13">
        <v>5</v>
      </c>
      <c r="G104" s="13">
        <v>2</v>
      </c>
      <c r="H104" s="13">
        <v>23</v>
      </c>
      <c r="I104" s="13">
        <v>908</v>
      </c>
      <c r="J104" s="13"/>
      <c r="K104" s="7">
        <f t="shared" si="3"/>
        <v>4716</v>
      </c>
    </row>
    <row r="105" spans="1:11">
      <c r="A105" s="2">
        <f t="shared" si="4"/>
        <v>2018</v>
      </c>
      <c r="B105" s="2" t="s">
        <v>8</v>
      </c>
      <c r="C105" s="13">
        <v>3279</v>
      </c>
      <c r="D105" s="13">
        <v>472</v>
      </c>
      <c r="E105" s="147">
        <v>34</v>
      </c>
      <c r="F105" s="13">
        <v>5</v>
      </c>
      <c r="G105" s="13">
        <v>2</v>
      </c>
      <c r="H105" s="13">
        <v>23</v>
      </c>
      <c r="I105" s="13">
        <v>908</v>
      </c>
      <c r="J105" s="13"/>
      <c r="K105" s="7">
        <f t="shared" si="3"/>
        <v>4723</v>
      </c>
    </row>
    <row r="106" spans="1:11">
      <c r="A106" s="2">
        <f t="shared" si="4"/>
        <v>2018</v>
      </c>
      <c r="B106" s="2" t="s">
        <v>9</v>
      </c>
      <c r="C106" s="13">
        <v>3285</v>
      </c>
      <c r="D106" s="13">
        <v>470</v>
      </c>
      <c r="E106" s="147">
        <v>35</v>
      </c>
      <c r="F106" s="13">
        <v>5</v>
      </c>
      <c r="G106" s="13">
        <v>2</v>
      </c>
      <c r="H106" s="13">
        <v>23</v>
      </c>
      <c r="I106" s="13">
        <v>908</v>
      </c>
      <c r="J106" s="13"/>
      <c r="K106" s="7">
        <f t="shared" si="3"/>
        <v>4728</v>
      </c>
    </row>
    <row r="107" spans="1:11">
      <c r="A107" s="2">
        <f t="shared" si="4"/>
        <v>2018</v>
      </c>
      <c r="B107" s="2" t="s">
        <v>10</v>
      </c>
      <c r="C107" s="13">
        <v>3290</v>
      </c>
      <c r="D107" s="13">
        <v>471</v>
      </c>
      <c r="E107" s="147">
        <v>35</v>
      </c>
      <c r="F107" s="13">
        <v>5</v>
      </c>
      <c r="G107" s="13">
        <v>2</v>
      </c>
      <c r="H107" s="13">
        <v>23</v>
      </c>
      <c r="I107" s="13">
        <v>908</v>
      </c>
      <c r="J107" s="13"/>
      <c r="K107" s="7">
        <f t="shared" si="3"/>
        <v>4734</v>
      </c>
    </row>
    <row r="108" spans="1:11">
      <c r="A108" s="2">
        <f t="shared" si="4"/>
        <v>2018</v>
      </c>
      <c r="B108" s="2" t="s">
        <v>11</v>
      </c>
      <c r="C108" s="13">
        <v>3290</v>
      </c>
      <c r="D108" s="13">
        <v>470</v>
      </c>
      <c r="E108" s="147">
        <v>35</v>
      </c>
      <c r="F108" s="13">
        <v>5</v>
      </c>
      <c r="G108" s="13">
        <v>2</v>
      </c>
      <c r="H108" s="13">
        <v>23</v>
      </c>
      <c r="I108" s="13">
        <v>908</v>
      </c>
      <c r="J108" s="13"/>
      <c r="K108" s="7">
        <f t="shared" si="3"/>
        <v>4733</v>
      </c>
    </row>
    <row r="109" spans="1:11">
      <c r="A109" s="2">
        <f t="shared" si="4"/>
        <v>2018</v>
      </c>
      <c r="B109" s="2" t="s">
        <v>12</v>
      </c>
      <c r="C109" s="13">
        <v>3288</v>
      </c>
      <c r="D109" s="13">
        <v>471</v>
      </c>
      <c r="E109" s="147">
        <v>35</v>
      </c>
      <c r="F109" s="13">
        <v>5</v>
      </c>
      <c r="G109" s="13">
        <v>2</v>
      </c>
      <c r="H109" s="13">
        <v>23</v>
      </c>
      <c r="I109" s="13">
        <v>908</v>
      </c>
      <c r="J109" s="13"/>
      <c r="K109" s="7">
        <f t="shared" si="3"/>
        <v>4732</v>
      </c>
    </row>
    <row r="110" spans="1:11">
      <c r="A110" s="2">
        <f t="shared" si="4"/>
        <v>2018</v>
      </c>
      <c r="B110" s="2" t="s">
        <v>13</v>
      </c>
      <c r="C110" s="147">
        <v>3294</v>
      </c>
      <c r="D110" s="147">
        <v>471</v>
      </c>
      <c r="E110" s="147">
        <v>35</v>
      </c>
      <c r="F110" s="147">
        <v>5</v>
      </c>
      <c r="G110" s="13">
        <v>4</v>
      </c>
      <c r="H110" s="13">
        <v>23</v>
      </c>
      <c r="I110" s="13">
        <v>908</v>
      </c>
      <c r="J110" s="13"/>
      <c r="K110" s="7">
        <f t="shared" si="3"/>
        <v>4740</v>
      </c>
    </row>
    <row r="111" spans="1:11">
      <c r="A111" s="2">
        <v>2019</v>
      </c>
      <c r="B111" s="2" t="s">
        <v>2</v>
      </c>
      <c r="C111" s="12">
        <v>3293</v>
      </c>
      <c r="D111" s="12">
        <v>463</v>
      </c>
      <c r="E111" s="7">
        <v>35</v>
      </c>
      <c r="F111" s="12">
        <v>5</v>
      </c>
      <c r="G111" s="13">
        <v>4</v>
      </c>
      <c r="H111" s="13">
        <v>23</v>
      </c>
      <c r="I111" s="13">
        <v>908</v>
      </c>
      <c r="J111" s="9"/>
      <c r="K111" s="7">
        <f t="shared" si="3"/>
        <v>4731</v>
      </c>
    </row>
    <row r="112" spans="1:11">
      <c r="A112" s="2">
        <v>2019</v>
      </c>
      <c r="B112" s="2" t="s">
        <v>3</v>
      </c>
      <c r="C112" s="7">
        <v>3292</v>
      </c>
      <c r="D112" s="7">
        <v>462</v>
      </c>
      <c r="E112" s="7">
        <v>35</v>
      </c>
      <c r="F112" s="7">
        <v>5</v>
      </c>
      <c r="G112" s="7">
        <v>2</v>
      </c>
      <c r="H112" s="13">
        <v>23</v>
      </c>
      <c r="I112" s="13">
        <v>908</v>
      </c>
      <c r="J112" s="9"/>
      <c r="K112" s="7">
        <f t="shared" si="3"/>
        <v>4727</v>
      </c>
    </row>
    <row r="113" spans="1:11">
      <c r="A113" s="2">
        <v>2019</v>
      </c>
      <c r="B113" s="2" t="s">
        <v>4</v>
      </c>
      <c r="C113" s="7">
        <v>3296</v>
      </c>
      <c r="D113" s="7">
        <v>462</v>
      </c>
      <c r="E113" s="7">
        <v>35</v>
      </c>
      <c r="F113" s="7">
        <v>5</v>
      </c>
      <c r="G113" s="7">
        <v>2</v>
      </c>
      <c r="H113" s="13">
        <v>23</v>
      </c>
      <c r="I113" s="13">
        <v>908</v>
      </c>
      <c r="J113" s="9"/>
      <c r="K113" s="7">
        <f t="shared" si="3"/>
        <v>4731</v>
      </c>
    </row>
    <row r="114" spans="1:11">
      <c r="A114" s="2">
        <v>2019</v>
      </c>
      <c r="B114" s="2" t="s">
        <v>5</v>
      </c>
      <c r="C114" s="7">
        <v>3301</v>
      </c>
      <c r="D114" s="7">
        <v>469</v>
      </c>
      <c r="E114" s="7">
        <v>35</v>
      </c>
      <c r="F114" s="7">
        <v>5</v>
      </c>
      <c r="G114" s="7">
        <v>2</v>
      </c>
      <c r="H114" s="13">
        <v>23</v>
      </c>
      <c r="I114" s="13">
        <v>908</v>
      </c>
      <c r="J114" s="9"/>
      <c r="K114" s="7">
        <f t="shared" si="3"/>
        <v>4743</v>
      </c>
    </row>
    <row r="115" spans="1:11">
      <c r="A115" s="2">
        <v>2019</v>
      </c>
      <c r="B115" s="2" t="s">
        <v>6</v>
      </c>
      <c r="C115" s="7">
        <v>3300</v>
      </c>
      <c r="D115" s="7">
        <v>471</v>
      </c>
      <c r="E115" s="7">
        <v>35</v>
      </c>
      <c r="F115" s="7">
        <v>5</v>
      </c>
      <c r="G115" s="7">
        <v>2</v>
      </c>
      <c r="H115" s="13">
        <v>23</v>
      </c>
      <c r="I115" s="13">
        <v>908</v>
      </c>
      <c r="J115" s="9"/>
      <c r="K115" s="7">
        <f t="shared" si="3"/>
        <v>4744</v>
      </c>
    </row>
    <row r="116" spans="1:11">
      <c r="A116" s="2">
        <v>2019</v>
      </c>
      <c r="B116" s="2" t="s">
        <v>7</v>
      </c>
      <c r="C116" s="7">
        <v>3300</v>
      </c>
      <c r="D116" s="7">
        <v>470</v>
      </c>
      <c r="E116" s="7">
        <v>35</v>
      </c>
      <c r="F116" s="7">
        <v>5</v>
      </c>
      <c r="G116" s="7">
        <v>2</v>
      </c>
      <c r="H116" s="13">
        <v>23</v>
      </c>
      <c r="I116" s="13">
        <v>908</v>
      </c>
      <c r="J116" s="9"/>
      <c r="K116" s="7">
        <f t="shared" si="3"/>
        <v>4743</v>
      </c>
    </row>
    <row r="117" spans="1:11">
      <c r="A117" s="2">
        <v>2019</v>
      </c>
      <c r="B117" s="2" t="s">
        <v>8</v>
      </c>
      <c r="C117" s="7">
        <v>3305</v>
      </c>
      <c r="D117" s="7">
        <v>471</v>
      </c>
      <c r="E117" s="7">
        <v>35</v>
      </c>
      <c r="F117" s="7">
        <v>5</v>
      </c>
      <c r="G117" s="7">
        <v>2</v>
      </c>
      <c r="H117" s="13">
        <v>23</v>
      </c>
      <c r="I117" s="13">
        <v>908</v>
      </c>
      <c r="J117" s="9"/>
      <c r="K117" s="7">
        <f t="shared" si="3"/>
        <v>4749</v>
      </c>
    </row>
    <row r="118" spans="1:11">
      <c r="A118" s="2">
        <v>2019</v>
      </c>
      <c r="B118" s="2" t="s">
        <v>9</v>
      </c>
      <c r="C118" s="7">
        <v>3303</v>
      </c>
      <c r="D118" s="7">
        <v>474</v>
      </c>
      <c r="E118" s="7">
        <v>35</v>
      </c>
      <c r="F118" s="7">
        <v>5</v>
      </c>
      <c r="G118" s="7">
        <v>2</v>
      </c>
      <c r="H118" s="13">
        <v>23</v>
      </c>
      <c r="I118" s="13">
        <v>908</v>
      </c>
      <c r="J118" s="9"/>
      <c r="K118" s="7">
        <f t="shared" si="3"/>
        <v>4750</v>
      </c>
    </row>
    <row r="119" spans="1:11">
      <c r="A119" s="2">
        <v>2019</v>
      </c>
      <c r="B119" s="2" t="s">
        <v>10</v>
      </c>
      <c r="C119" s="7">
        <v>3306</v>
      </c>
      <c r="D119" s="7">
        <v>473</v>
      </c>
      <c r="E119" s="7">
        <v>35</v>
      </c>
      <c r="F119" s="7">
        <v>5</v>
      </c>
      <c r="G119" s="7">
        <v>2</v>
      </c>
      <c r="H119" s="13">
        <v>23</v>
      </c>
      <c r="I119" s="13">
        <v>908</v>
      </c>
      <c r="J119" s="9"/>
      <c r="K119" s="7">
        <f t="shared" si="3"/>
        <v>4752</v>
      </c>
    </row>
    <row r="120" spans="1:11">
      <c r="A120" s="2">
        <v>2019</v>
      </c>
      <c r="B120" s="2" t="s">
        <v>11</v>
      </c>
      <c r="C120" s="7">
        <v>3301</v>
      </c>
      <c r="D120" s="7">
        <v>473</v>
      </c>
      <c r="E120" s="7">
        <v>35</v>
      </c>
      <c r="F120" s="7">
        <v>5</v>
      </c>
      <c r="G120" s="7">
        <v>2</v>
      </c>
      <c r="H120" s="13">
        <v>23</v>
      </c>
      <c r="I120" s="13">
        <v>908</v>
      </c>
      <c r="J120" s="9"/>
      <c r="K120" s="7">
        <f t="shared" si="3"/>
        <v>4747</v>
      </c>
    </row>
    <row r="121" spans="1:11">
      <c r="A121" s="2">
        <v>2019</v>
      </c>
      <c r="B121" s="2" t="s">
        <v>12</v>
      </c>
      <c r="C121" s="7">
        <v>3312</v>
      </c>
      <c r="D121" s="7">
        <v>476</v>
      </c>
      <c r="E121" s="7">
        <v>35</v>
      </c>
      <c r="F121" s="7">
        <v>5</v>
      </c>
      <c r="G121" s="7">
        <v>2</v>
      </c>
      <c r="H121" s="13">
        <v>23</v>
      </c>
      <c r="I121" s="13">
        <v>908</v>
      </c>
      <c r="J121" s="9"/>
      <c r="K121" s="7">
        <f t="shared" si="3"/>
        <v>4761</v>
      </c>
    </row>
    <row r="122" spans="1:11">
      <c r="A122" s="2">
        <v>2019</v>
      </c>
      <c r="B122" s="2" t="s">
        <v>13</v>
      </c>
      <c r="C122" s="147">
        <v>3314</v>
      </c>
      <c r="D122" s="147">
        <v>476</v>
      </c>
      <c r="E122" s="147">
        <v>35</v>
      </c>
      <c r="F122" s="147">
        <v>5</v>
      </c>
      <c r="G122" s="147">
        <v>4</v>
      </c>
      <c r="H122" s="147">
        <v>23</v>
      </c>
      <c r="I122" s="147">
        <v>907</v>
      </c>
      <c r="J122" s="9"/>
      <c r="K122" s="7">
        <f t="shared" si="3"/>
        <v>4764</v>
      </c>
    </row>
    <row r="123" spans="1:11">
      <c r="J123" s="9"/>
      <c r="K123" s="7"/>
    </row>
    <row r="124" spans="1:11">
      <c r="J124" s="9"/>
      <c r="K124" s="7"/>
    </row>
    <row r="125" spans="1:11">
      <c r="J125" s="9"/>
      <c r="K125" s="7"/>
    </row>
    <row r="126" spans="1:11">
      <c r="A126" s="14" t="s">
        <v>64</v>
      </c>
      <c r="J126" s="9"/>
      <c r="K126" s="7"/>
    </row>
    <row r="127" spans="1:11">
      <c r="A127" s="14" t="s">
        <v>66</v>
      </c>
      <c r="J127" s="9"/>
      <c r="K127" s="7"/>
    </row>
    <row r="128" spans="1:11">
      <c r="A128" s="2">
        <v>2010</v>
      </c>
      <c r="C128" s="7">
        <f t="shared" ref="C128:I128" si="5">AVERAGE(C3:C14)</f>
        <v>3072.9166666666665</v>
      </c>
      <c r="D128" s="7">
        <f t="shared" si="5"/>
        <v>479</v>
      </c>
      <c r="E128" s="7">
        <f t="shared" si="5"/>
        <v>39.666666666666664</v>
      </c>
      <c r="F128" s="7">
        <f t="shared" si="5"/>
        <v>5</v>
      </c>
      <c r="G128" s="7">
        <f t="shared" si="5"/>
        <v>1.1666666666666667</v>
      </c>
      <c r="H128" s="7">
        <f t="shared" si="5"/>
        <v>28</v>
      </c>
      <c r="I128" s="7">
        <f t="shared" si="5"/>
        <v>900</v>
      </c>
      <c r="J128" s="9"/>
      <c r="K128" s="7">
        <f>SUM(C128:I128)</f>
        <v>4525.75</v>
      </c>
    </row>
    <row r="129" spans="1:11">
      <c r="A129" s="2">
        <v>2011</v>
      </c>
      <c r="C129" s="7">
        <f t="shared" ref="C129" si="6">AVERAGE(C15:C26)</f>
        <v>3103.25</v>
      </c>
      <c r="D129" s="7">
        <f t="shared" ref="D129:I129" si="7">AVERAGE(D15:D26)</f>
        <v>477.75</v>
      </c>
      <c r="E129" s="7">
        <f t="shared" si="7"/>
        <v>38.333333333333336</v>
      </c>
      <c r="F129" s="7">
        <f t="shared" si="7"/>
        <v>5</v>
      </c>
      <c r="G129" s="7">
        <f t="shared" si="7"/>
        <v>1.5833333333333333</v>
      </c>
      <c r="H129" s="7">
        <f t="shared" si="7"/>
        <v>28</v>
      </c>
      <c r="I129" s="7">
        <f t="shared" si="7"/>
        <v>899.16666666666663</v>
      </c>
      <c r="J129" s="9"/>
      <c r="K129" s="7">
        <f t="shared" ref="K129:K137" si="8">SUM(C129:I129)</f>
        <v>4553.0833333333339</v>
      </c>
    </row>
    <row r="130" spans="1:11">
      <c r="A130" s="2">
        <v>2012</v>
      </c>
      <c r="C130" s="7">
        <f t="shared" ref="C130" si="9">AVERAGE(C27:C38)</f>
        <v>3126.3333333333335</v>
      </c>
      <c r="D130" s="7">
        <f t="shared" ref="D130:I130" si="10">AVERAGE(D27:D38)</f>
        <v>477.75</v>
      </c>
      <c r="E130" s="7">
        <f t="shared" si="10"/>
        <v>37.666666666666664</v>
      </c>
      <c r="F130" s="7">
        <f t="shared" si="10"/>
        <v>5</v>
      </c>
      <c r="G130" s="7">
        <f t="shared" si="10"/>
        <v>1.3333333333333333</v>
      </c>
      <c r="H130" s="7">
        <f t="shared" si="10"/>
        <v>28</v>
      </c>
      <c r="I130" s="7">
        <f t="shared" si="10"/>
        <v>898</v>
      </c>
      <c r="J130" s="9"/>
      <c r="K130" s="7">
        <f t="shared" si="8"/>
        <v>4574.0833333333339</v>
      </c>
    </row>
    <row r="131" spans="1:11">
      <c r="A131" s="2">
        <v>2013</v>
      </c>
      <c r="C131" s="7">
        <f t="shared" ref="C131" si="11">AVERAGE(C39:C50)</f>
        <v>3160.5</v>
      </c>
      <c r="D131" s="7">
        <f t="shared" ref="D131:I131" si="12">AVERAGE(D39:D50)</f>
        <v>474.25</v>
      </c>
      <c r="E131" s="7">
        <f t="shared" si="12"/>
        <v>38.416666666666664</v>
      </c>
      <c r="F131" s="7">
        <f t="shared" si="12"/>
        <v>5.833333333333333</v>
      </c>
      <c r="G131" s="7">
        <f t="shared" si="12"/>
        <v>1.5833333333333333</v>
      </c>
      <c r="H131" s="7">
        <f t="shared" si="12"/>
        <v>28</v>
      </c>
      <c r="I131" s="7">
        <f t="shared" si="12"/>
        <v>899.5</v>
      </c>
      <c r="J131" s="9"/>
      <c r="K131" s="7">
        <f t="shared" si="8"/>
        <v>4608.0833333333339</v>
      </c>
    </row>
    <row r="132" spans="1:11">
      <c r="A132" s="2">
        <v>2014</v>
      </c>
      <c r="C132" s="7">
        <f t="shared" ref="C132" si="13">AVERAGE(C51:C62)</f>
        <v>3190.4166666666665</v>
      </c>
      <c r="D132" s="7">
        <f t="shared" ref="D132:I132" si="14">AVERAGE(D51:D62)</f>
        <v>473.08333333333331</v>
      </c>
      <c r="E132" s="7">
        <f t="shared" si="14"/>
        <v>38.333333333333336</v>
      </c>
      <c r="F132" s="7">
        <f t="shared" si="14"/>
        <v>5.833333333333333</v>
      </c>
      <c r="G132" s="7">
        <f t="shared" si="14"/>
        <v>1.1666666666666667</v>
      </c>
      <c r="H132" s="7">
        <f t="shared" si="14"/>
        <v>27.916666666666668</v>
      </c>
      <c r="I132" s="7">
        <f t="shared" si="14"/>
        <v>905</v>
      </c>
      <c r="J132" s="9"/>
      <c r="K132" s="7">
        <f t="shared" si="8"/>
        <v>4641.75</v>
      </c>
    </row>
    <row r="133" spans="1:11">
      <c r="A133" s="2">
        <v>2015</v>
      </c>
      <c r="C133" s="7">
        <f t="shared" ref="C133" si="15">AVERAGE(C63:C74)</f>
        <v>3211.9166666666665</v>
      </c>
      <c r="D133" s="7">
        <f t="shared" ref="D133:I133" si="16">AVERAGE(D63:D74)</f>
        <v>474.41666666666669</v>
      </c>
      <c r="E133" s="7">
        <f t="shared" si="16"/>
        <v>35.75</v>
      </c>
      <c r="F133" s="7">
        <f t="shared" si="16"/>
        <v>5</v>
      </c>
      <c r="G133" s="7">
        <f t="shared" si="16"/>
        <v>1</v>
      </c>
      <c r="H133" s="7">
        <f t="shared" si="16"/>
        <v>26.5</v>
      </c>
      <c r="I133" s="7">
        <f t="shared" si="16"/>
        <v>905</v>
      </c>
      <c r="J133" s="9"/>
      <c r="K133" s="7">
        <f t="shared" si="8"/>
        <v>4659.583333333333</v>
      </c>
    </row>
    <row r="134" spans="1:11">
      <c r="A134" s="2">
        <v>2016</v>
      </c>
      <c r="C134" s="7">
        <f t="shared" ref="C134" si="17">AVERAGE(C75:C86)</f>
        <v>3219.3333333333335</v>
      </c>
      <c r="D134" s="7">
        <f t="shared" ref="D134:I134" si="18">AVERAGE(D75:D86)</f>
        <v>469.33333333333331</v>
      </c>
      <c r="E134" s="7">
        <f t="shared" si="18"/>
        <v>35.583333333333336</v>
      </c>
      <c r="F134" s="7">
        <f t="shared" si="18"/>
        <v>5</v>
      </c>
      <c r="G134" s="7">
        <f t="shared" si="18"/>
        <v>1.5833333333333333</v>
      </c>
      <c r="H134" s="7">
        <f t="shared" si="18"/>
        <v>24</v>
      </c>
      <c r="I134" s="7">
        <f t="shared" si="18"/>
        <v>907.08333333333337</v>
      </c>
      <c r="J134" s="9"/>
      <c r="K134" s="7">
        <f t="shared" si="8"/>
        <v>4661.916666666667</v>
      </c>
    </row>
    <row r="135" spans="1:11">
      <c r="A135" s="2">
        <v>2017</v>
      </c>
      <c r="C135" s="7">
        <f t="shared" ref="C135" si="19">AVERAGE(C87:C98)</f>
        <v>3245.6666666666665</v>
      </c>
      <c r="D135" s="7">
        <f t="shared" ref="D135:I135" si="20">AVERAGE(D87:D98)</f>
        <v>472.75</v>
      </c>
      <c r="E135" s="7">
        <f t="shared" si="20"/>
        <v>34.75</v>
      </c>
      <c r="F135" s="7">
        <f t="shared" si="20"/>
        <v>5</v>
      </c>
      <c r="G135" s="7">
        <f t="shared" si="20"/>
        <v>2</v>
      </c>
      <c r="H135" s="7">
        <f t="shared" si="20"/>
        <v>23.083333333333332</v>
      </c>
      <c r="I135" s="7">
        <f t="shared" si="20"/>
        <v>908.33333333333337</v>
      </c>
      <c r="J135" s="9"/>
      <c r="K135" s="7">
        <f t="shared" si="8"/>
        <v>4691.583333333333</v>
      </c>
    </row>
    <row r="136" spans="1:11">
      <c r="A136" s="2">
        <v>2018</v>
      </c>
      <c r="C136" s="7">
        <f t="shared" ref="C136" si="21">AVERAGE(C99:C110)</f>
        <v>3278.5833333333335</v>
      </c>
      <c r="D136" s="7">
        <f t="shared" ref="D136:I136" si="22">AVERAGE(D99:D110)</f>
        <v>470.16666666666669</v>
      </c>
      <c r="E136" s="7">
        <f t="shared" si="22"/>
        <v>34</v>
      </c>
      <c r="F136" s="7">
        <f t="shared" si="22"/>
        <v>5</v>
      </c>
      <c r="G136" s="7">
        <f t="shared" si="22"/>
        <v>2.3333333333333335</v>
      </c>
      <c r="H136" s="7">
        <f t="shared" si="22"/>
        <v>23</v>
      </c>
      <c r="I136" s="7">
        <f t="shared" si="22"/>
        <v>908</v>
      </c>
      <c r="J136" s="9"/>
      <c r="K136" s="7">
        <f t="shared" si="8"/>
        <v>4721.0833333333339</v>
      </c>
    </row>
    <row r="137" spans="1:11">
      <c r="A137" s="2">
        <v>2019</v>
      </c>
      <c r="C137" s="147">
        <f t="shared" ref="C137" si="23">AVERAGE(C111:C122)</f>
        <v>3301.9166666666665</v>
      </c>
      <c r="D137" s="147">
        <f t="shared" ref="D137:I137" si="24">AVERAGE(D111:D122)</f>
        <v>470</v>
      </c>
      <c r="E137" s="147">
        <f t="shared" si="24"/>
        <v>35</v>
      </c>
      <c r="F137" s="147">
        <f t="shared" si="24"/>
        <v>5</v>
      </c>
      <c r="G137" s="147">
        <f t="shared" si="24"/>
        <v>2.3333333333333335</v>
      </c>
      <c r="H137" s="147">
        <f t="shared" si="24"/>
        <v>23</v>
      </c>
      <c r="I137" s="147">
        <f t="shared" si="24"/>
        <v>907.91666666666663</v>
      </c>
      <c r="J137" s="9"/>
      <c r="K137" s="7">
        <f t="shared" si="8"/>
        <v>4745.166666666667</v>
      </c>
    </row>
    <row r="138" spans="1:11">
      <c r="J138" s="9"/>
      <c r="K138" s="7"/>
    </row>
    <row r="139" spans="1:11">
      <c r="A139" s="14" t="s">
        <v>140</v>
      </c>
      <c r="J139" s="9"/>
      <c r="K139" s="7"/>
    </row>
    <row r="140" spans="1:11">
      <c r="A140" s="2">
        <v>2010</v>
      </c>
      <c r="C140" s="18"/>
      <c r="D140" s="18"/>
      <c r="E140" s="18"/>
      <c r="F140" s="18"/>
      <c r="G140" s="18"/>
      <c r="H140" s="18"/>
      <c r="I140" s="18"/>
      <c r="J140" s="9"/>
      <c r="K140" s="18"/>
    </row>
    <row r="141" spans="1:11">
      <c r="A141" s="2">
        <v>2011</v>
      </c>
      <c r="C141" s="17">
        <f t="shared" ref="C141" si="25">(C129-C128)/C128</f>
        <v>9.8711864406780155E-3</v>
      </c>
      <c r="D141" s="17">
        <f t="shared" ref="D141:K141" si="26">(D129-D128)/D128</f>
        <v>-2.6096033402922755E-3</v>
      </c>
      <c r="E141" s="17">
        <f t="shared" si="26"/>
        <v>-3.3613445378151141E-2</v>
      </c>
      <c r="F141" s="17">
        <f t="shared" si="26"/>
        <v>0</v>
      </c>
      <c r="G141" s="17">
        <f t="shared" si="26"/>
        <v>0.35714285714285698</v>
      </c>
      <c r="H141" s="17">
        <f t="shared" si="26"/>
        <v>0</v>
      </c>
      <c r="I141" s="17">
        <f t="shared" si="26"/>
        <v>-9.2592592592596803E-4</v>
      </c>
      <c r="J141" s="9"/>
      <c r="K141" s="17">
        <f t="shared" si="26"/>
        <v>6.039514629251271E-3</v>
      </c>
    </row>
    <row r="142" spans="1:11">
      <c r="A142" s="2">
        <v>2012</v>
      </c>
      <c r="C142" s="17">
        <f t="shared" ref="C142" si="27">(C130-C129)/C129</f>
        <v>7.4384381965144561E-3</v>
      </c>
      <c r="D142" s="17">
        <f t="shared" ref="D142:K149" si="28">(D130-D129)/D129</f>
        <v>0</v>
      </c>
      <c r="E142" s="17">
        <f t="shared" si="28"/>
        <v>-1.7391304347826209E-2</v>
      </c>
      <c r="F142" s="17">
        <f t="shared" si="28"/>
        <v>0</v>
      </c>
      <c r="G142" s="17">
        <f t="shared" si="28"/>
        <v>-0.15789473684210528</v>
      </c>
      <c r="H142" s="17">
        <f t="shared" si="28"/>
        <v>0</v>
      </c>
      <c r="I142" s="17">
        <f t="shared" si="28"/>
        <v>-1.2974976830398097E-3</v>
      </c>
      <c r="J142" s="9"/>
      <c r="K142" s="17">
        <f t="shared" si="28"/>
        <v>4.6122590918242215E-3</v>
      </c>
    </row>
    <row r="143" spans="1:11">
      <c r="A143" s="2">
        <v>2013</v>
      </c>
      <c r="C143" s="17">
        <f t="shared" ref="C143" si="29">(C131-C130)/C130</f>
        <v>1.0928670433948132E-2</v>
      </c>
      <c r="D143" s="17">
        <f t="shared" si="28"/>
        <v>-7.326007326007326E-3</v>
      </c>
      <c r="E143" s="17">
        <f t="shared" si="28"/>
        <v>1.9911504424778761E-2</v>
      </c>
      <c r="F143" s="17">
        <f t="shared" si="28"/>
        <v>0.1666666666666666</v>
      </c>
      <c r="G143" s="17">
        <f t="shared" si="28"/>
        <v>0.1875</v>
      </c>
      <c r="H143" s="17">
        <f t="shared" si="28"/>
        <v>0</v>
      </c>
      <c r="I143" s="17">
        <f t="shared" si="28"/>
        <v>1.6703786191536749E-3</v>
      </c>
      <c r="J143" s="9"/>
      <c r="K143" s="17">
        <f t="shared" si="28"/>
        <v>7.4331833336369751E-3</v>
      </c>
    </row>
    <row r="144" spans="1:11">
      <c r="A144" s="2">
        <v>2014</v>
      </c>
      <c r="C144" s="17">
        <f t="shared" ref="C144" si="30">(C132-C131)/C131</f>
        <v>9.4658018246057633E-3</v>
      </c>
      <c r="D144" s="17">
        <f t="shared" si="28"/>
        <v>-2.4600246002460424E-3</v>
      </c>
      <c r="E144" s="17">
        <f t="shared" si="28"/>
        <v>-2.1691973969630005E-3</v>
      </c>
      <c r="F144" s="17">
        <f t="shared" si="28"/>
        <v>0</v>
      </c>
      <c r="G144" s="17">
        <f t="shared" si="28"/>
        <v>-0.26315789473684204</v>
      </c>
      <c r="H144" s="17">
        <f t="shared" si="28"/>
        <v>-2.976190476190434E-3</v>
      </c>
      <c r="I144" s="17">
        <f t="shared" si="28"/>
        <v>6.1145080600333518E-3</v>
      </c>
      <c r="J144" s="9"/>
      <c r="K144" s="17">
        <f t="shared" si="28"/>
        <v>7.3060021339311837E-3</v>
      </c>
    </row>
    <row r="145" spans="1:11">
      <c r="A145" s="2">
        <v>2015</v>
      </c>
      <c r="C145" s="17">
        <f t="shared" ref="C145" si="31">(C133-C132)/C132</f>
        <v>6.7389316964868752E-3</v>
      </c>
      <c r="D145" s="17">
        <f t="shared" si="28"/>
        <v>2.8183899947155991E-3</v>
      </c>
      <c r="E145" s="17">
        <f t="shared" si="28"/>
        <v>-6.7391304347826142E-2</v>
      </c>
      <c r="F145" s="17">
        <f t="shared" si="28"/>
        <v>-0.14285714285714282</v>
      </c>
      <c r="G145" s="17">
        <f t="shared" si="28"/>
        <v>-0.1428571428571429</v>
      </c>
      <c r="H145" s="17">
        <f t="shared" si="28"/>
        <v>-5.0746268656716456E-2</v>
      </c>
      <c r="I145" s="17">
        <f t="shared" si="28"/>
        <v>0</v>
      </c>
      <c r="J145" s="9"/>
      <c r="K145" s="17">
        <f t="shared" si="28"/>
        <v>3.8419417963770196E-3</v>
      </c>
    </row>
    <row r="146" spans="1:11">
      <c r="A146" s="2">
        <v>2016</v>
      </c>
      <c r="C146" s="17">
        <f t="shared" ref="C146" si="32">(C134-C133)/C133</f>
        <v>2.3091093064889511E-3</v>
      </c>
      <c r="D146" s="17">
        <f t="shared" si="28"/>
        <v>-1.0714913051115485E-2</v>
      </c>
      <c r="E146" s="17">
        <f t="shared" si="28"/>
        <v>-4.6620046620045961E-3</v>
      </c>
      <c r="F146" s="17">
        <f t="shared" si="28"/>
        <v>0</v>
      </c>
      <c r="G146" s="17">
        <f t="shared" si="28"/>
        <v>0.58333333333333326</v>
      </c>
      <c r="H146" s="17">
        <f t="shared" si="28"/>
        <v>-9.4339622641509441E-2</v>
      </c>
      <c r="I146" s="17">
        <f t="shared" si="28"/>
        <v>2.3020257826888079E-3</v>
      </c>
      <c r="J146" s="9"/>
      <c r="K146" s="17">
        <f t="shared" si="28"/>
        <v>5.0076008226785794E-4</v>
      </c>
    </row>
    <row r="147" spans="1:11">
      <c r="A147" s="2">
        <v>2017</v>
      </c>
      <c r="C147" s="17">
        <f t="shared" ref="C147" si="33">(C135-C134)/C134</f>
        <v>8.179747359701707E-3</v>
      </c>
      <c r="D147" s="17">
        <f t="shared" si="28"/>
        <v>7.2798295454545858E-3</v>
      </c>
      <c r="E147" s="17">
        <f t="shared" si="28"/>
        <v>-2.3419203747072664E-2</v>
      </c>
      <c r="F147" s="17">
        <f t="shared" si="28"/>
        <v>0</v>
      </c>
      <c r="G147" s="17">
        <f t="shared" si="28"/>
        <v>0.26315789473684215</v>
      </c>
      <c r="H147" s="17">
        <f t="shared" si="28"/>
        <v>-3.8194444444444496E-2</v>
      </c>
      <c r="I147" s="17">
        <f t="shared" si="28"/>
        <v>1.3780431786862655E-3</v>
      </c>
      <c r="J147" s="9"/>
      <c r="K147" s="17">
        <f t="shared" si="28"/>
        <v>6.3636201133295085E-3</v>
      </c>
    </row>
    <row r="148" spans="1:11">
      <c r="A148" s="2">
        <v>2018</v>
      </c>
      <c r="C148" s="17">
        <f t="shared" ref="C148" si="34">(C136-C135)/C135</f>
        <v>1.0141727431447152E-2</v>
      </c>
      <c r="D148" s="17">
        <f t="shared" ref="D148:K148" si="35">(D136-D135)/D135</f>
        <v>-5.4644808743169E-3</v>
      </c>
      <c r="E148" s="17">
        <f t="shared" si="35"/>
        <v>-2.1582733812949641E-2</v>
      </c>
      <c r="F148" s="17">
        <f t="shared" si="35"/>
        <v>0</v>
      </c>
      <c r="G148" s="17">
        <f t="shared" si="35"/>
        <v>0.16666666666666674</v>
      </c>
      <c r="H148" s="17">
        <f t="shared" si="35"/>
        <v>-3.6101083032490464E-3</v>
      </c>
      <c r="I148" s="17">
        <f t="shared" si="35"/>
        <v>-3.6697247706426187E-4</v>
      </c>
      <c r="J148" s="9"/>
      <c r="K148" s="17">
        <f t="shared" si="35"/>
        <v>6.2878559121833594E-3</v>
      </c>
    </row>
    <row r="149" spans="1:11">
      <c r="A149" s="2">
        <v>2019</v>
      </c>
      <c r="C149" s="17">
        <f t="shared" ref="C149" si="36">(C137-C136)/C136</f>
        <v>7.1168950003811697E-3</v>
      </c>
      <c r="D149" s="17">
        <f t="shared" si="28"/>
        <v>-3.5448422545200767E-4</v>
      </c>
      <c r="E149" s="17">
        <f t="shared" si="28"/>
        <v>2.9411764705882353E-2</v>
      </c>
      <c r="F149" s="17">
        <f t="shared" si="28"/>
        <v>0</v>
      </c>
      <c r="G149" s="17">
        <f t="shared" si="28"/>
        <v>0</v>
      </c>
      <c r="H149" s="17">
        <f t="shared" si="28"/>
        <v>0</v>
      </c>
      <c r="I149" s="17">
        <f t="shared" si="28"/>
        <v>-9.1776798825298712E-5</v>
      </c>
      <c r="J149" s="9"/>
      <c r="K149" s="17">
        <f t="shared" si="28"/>
        <v>5.1012302967185551E-3</v>
      </c>
    </row>
    <row r="150" spans="1:11">
      <c r="K150" s="7"/>
    </row>
  </sheetData>
  <mergeCells count="1">
    <mergeCell ref="K1:K2"/>
  </mergeCells>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T119"/>
  <sheetViews>
    <sheetView workbookViewId="0">
      <selection activeCell="N139" sqref="N139"/>
    </sheetView>
  </sheetViews>
  <sheetFormatPr defaultColWidth="8.58203125" defaultRowHeight="15.5"/>
  <cols>
    <col min="1" max="1" width="9.08203125" style="132" bestFit="1" customWidth="1"/>
    <col min="2" max="2" width="15.33203125" style="132" bestFit="1" customWidth="1"/>
    <col min="3" max="3" width="6.33203125" style="132" bestFit="1" customWidth="1"/>
    <col min="4" max="4" width="10.58203125" style="178" customWidth="1"/>
    <col min="5" max="5" width="10.33203125" style="132" customWidth="1"/>
    <col min="6" max="6" width="10.75" style="132" customWidth="1"/>
    <col min="7" max="7" width="8.25" style="132" customWidth="1"/>
    <col min="8" max="8" width="11.08203125" style="132" customWidth="1"/>
    <col min="9" max="9" width="7.83203125" style="132" customWidth="1"/>
    <col min="10" max="10" width="7.25" style="132" customWidth="1"/>
    <col min="11" max="11" width="3.08203125" style="132" customWidth="1"/>
    <col min="12" max="12" width="7" style="132" bestFit="1" customWidth="1"/>
    <col min="13" max="13" width="14.83203125" style="132" customWidth="1"/>
    <col min="14" max="14" width="8.83203125" style="132" bestFit="1" customWidth="1"/>
    <col min="15" max="15" width="9.08203125" style="132" customWidth="1"/>
    <col min="16" max="16" width="11.5" style="132" bestFit="1" customWidth="1"/>
    <col min="17" max="17" width="8.58203125" style="132"/>
    <col min="18" max="18" width="4.33203125" style="132" customWidth="1"/>
    <col min="19" max="19" width="9.5" style="132" bestFit="1" customWidth="1"/>
    <col min="20" max="16384" width="8.58203125" style="132"/>
  </cols>
  <sheetData>
    <row r="2" spans="1:20">
      <c r="A2" s="364" t="s">
        <v>177</v>
      </c>
      <c r="B2" s="364"/>
      <c r="C2" s="364"/>
      <c r="M2" s="364" t="s">
        <v>178</v>
      </c>
      <c r="N2" s="364"/>
    </row>
    <row r="3" spans="1:20">
      <c r="P3" s="367" t="s">
        <v>88</v>
      </c>
      <c r="Q3" s="367"/>
      <c r="S3" s="367" t="s">
        <v>88</v>
      </c>
      <c r="T3" s="367"/>
    </row>
    <row r="4" spans="1:20">
      <c r="A4" s="172" t="s">
        <v>155</v>
      </c>
      <c r="B4" s="172" t="s">
        <v>154</v>
      </c>
      <c r="C4" s="172" t="s">
        <v>60</v>
      </c>
      <c r="L4" s="172" t="s">
        <v>155</v>
      </c>
      <c r="M4" s="172" t="s">
        <v>154</v>
      </c>
      <c r="N4" s="172" t="s">
        <v>60</v>
      </c>
      <c r="O4" s="172"/>
      <c r="P4" s="178" t="s">
        <v>147</v>
      </c>
      <c r="Q4" s="178" t="s">
        <v>146</v>
      </c>
      <c r="S4" s="178" t="s">
        <v>60</v>
      </c>
      <c r="T4" s="178" t="s">
        <v>146</v>
      </c>
    </row>
    <row r="5" spans="1:20">
      <c r="A5" s="169">
        <v>43831</v>
      </c>
      <c r="B5" s="191">
        <f t="shared" ref="B5:C16" si="0">B23+B40+B57</f>
        <v>24919.098087690876</v>
      </c>
      <c r="C5" s="193">
        <f t="shared" si="0"/>
        <v>52.705999999999996</v>
      </c>
      <c r="L5" s="169">
        <v>43831</v>
      </c>
      <c r="M5" s="191">
        <f t="shared" ref="M5:N16" si="1">M23+M40+M56</f>
        <v>74921.419999999605</v>
      </c>
      <c r="N5" s="193">
        <f t="shared" si="1"/>
        <v>158.5</v>
      </c>
      <c r="O5" s="169"/>
      <c r="P5" s="179">
        <f t="shared" ref="P5:P17" si="2">B5-M5</f>
        <v>-50002.321912308733</v>
      </c>
      <c r="Q5" s="180">
        <f t="shared" ref="Q5:Q17" si="3">P5/M5</f>
        <v>-0.66739687945462056</v>
      </c>
      <c r="S5" s="179">
        <f t="shared" ref="S5:S17" si="4">C5-N5</f>
        <v>-105.79400000000001</v>
      </c>
      <c r="T5" s="180">
        <f t="shared" ref="T5:T17" si="5">S5/N5</f>
        <v>-0.66747003154574136</v>
      </c>
    </row>
    <row r="6" spans="1:20">
      <c r="A6" s="169">
        <v>43862</v>
      </c>
      <c r="B6" s="191">
        <f t="shared" si="0"/>
        <v>21400.63556233624</v>
      </c>
      <c r="C6" s="193">
        <f t="shared" si="0"/>
        <v>52.705999999999996</v>
      </c>
      <c r="L6" s="169">
        <v>43862</v>
      </c>
      <c r="M6" s="191">
        <f t="shared" si="1"/>
        <v>64343.439999999711</v>
      </c>
      <c r="N6" s="193">
        <f t="shared" si="1"/>
        <v>158.5</v>
      </c>
      <c r="O6" s="169"/>
      <c r="P6" s="179">
        <f t="shared" si="2"/>
        <v>-42942.804437663472</v>
      </c>
      <c r="Q6" s="180">
        <f t="shared" si="3"/>
        <v>-0.66739988470718481</v>
      </c>
      <c r="S6" s="179">
        <f t="shared" si="4"/>
        <v>-105.79400000000001</v>
      </c>
      <c r="T6" s="180">
        <f t="shared" si="5"/>
        <v>-0.66747003154574136</v>
      </c>
    </row>
    <row r="7" spans="1:20">
      <c r="A7" s="169">
        <v>43891</v>
      </c>
      <c r="B7" s="191">
        <f t="shared" si="0"/>
        <v>21242.504298871339</v>
      </c>
      <c r="C7" s="193">
        <f t="shared" si="0"/>
        <v>52.705999999999996</v>
      </c>
      <c r="L7" s="169">
        <v>43891</v>
      </c>
      <c r="M7" s="191">
        <f t="shared" si="1"/>
        <v>63867.439999999711</v>
      </c>
      <c r="N7" s="193">
        <f t="shared" si="1"/>
        <v>158.5</v>
      </c>
      <c r="O7" s="169"/>
      <c r="P7" s="179">
        <f t="shared" si="2"/>
        <v>-42624.935701128372</v>
      </c>
      <c r="Q7" s="180">
        <f t="shared" si="3"/>
        <v>-0.66739696629657563</v>
      </c>
      <c r="S7" s="179">
        <f t="shared" si="4"/>
        <v>-105.79400000000001</v>
      </c>
      <c r="T7" s="180">
        <f t="shared" si="5"/>
        <v>-0.66747003154574136</v>
      </c>
    </row>
    <row r="8" spans="1:20">
      <c r="A8" s="169">
        <v>43922</v>
      </c>
      <c r="B8" s="191">
        <f t="shared" si="0"/>
        <v>17789.945643164399</v>
      </c>
      <c r="C8" s="193">
        <f t="shared" si="0"/>
        <v>52.705999999999996</v>
      </c>
      <c r="L8" s="169">
        <v>43922</v>
      </c>
      <c r="M8" s="191">
        <f t="shared" si="1"/>
        <v>53486.999999999767</v>
      </c>
      <c r="N8" s="193">
        <f t="shared" si="1"/>
        <v>158.5</v>
      </c>
      <c r="O8" s="169"/>
      <c r="P8" s="179">
        <f t="shared" si="2"/>
        <v>-35697.054356835368</v>
      </c>
      <c r="Q8" s="180">
        <f t="shared" si="3"/>
        <v>-0.66739683206826939</v>
      </c>
      <c r="S8" s="179">
        <f t="shared" si="4"/>
        <v>-105.79400000000001</v>
      </c>
      <c r="T8" s="180">
        <f t="shared" si="5"/>
        <v>-0.66747003154574136</v>
      </c>
    </row>
    <row r="9" spans="1:20">
      <c r="A9" s="169">
        <v>43952</v>
      </c>
      <c r="B9" s="191">
        <f t="shared" si="0"/>
        <v>16340.384366621416</v>
      </c>
      <c r="C9" s="193">
        <f t="shared" si="0"/>
        <v>52.705999999999996</v>
      </c>
      <c r="L9" s="169">
        <v>43952</v>
      </c>
      <c r="M9" s="191">
        <f t="shared" si="1"/>
        <v>49129.109999999819</v>
      </c>
      <c r="N9" s="193">
        <f t="shared" si="1"/>
        <v>158.5</v>
      </c>
      <c r="O9" s="169"/>
      <c r="P9" s="179">
        <f t="shared" si="2"/>
        <v>-32788.725633378403</v>
      </c>
      <c r="Q9" s="180">
        <f t="shared" si="3"/>
        <v>-0.66739913736231993</v>
      </c>
      <c r="S9" s="179">
        <f t="shared" si="4"/>
        <v>-105.79400000000001</v>
      </c>
      <c r="T9" s="180">
        <f t="shared" si="5"/>
        <v>-0.66747003154574136</v>
      </c>
    </row>
    <row r="10" spans="1:20">
      <c r="A10" s="169">
        <v>43983</v>
      </c>
      <c r="B10" s="191">
        <f t="shared" si="0"/>
        <v>13441.292603853599</v>
      </c>
      <c r="C10" s="193">
        <f t="shared" si="0"/>
        <v>52.705999999999996</v>
      </c>
      <c r="L10" s="169">
        <v>43983</v>
      </c>
      <c r="M10" s="191">
        <f t="shared" si="1"/>
        <v>40412.999999999927</v>
      </c>
      <c r="N10" s="193">
        <f t="shared" si="1"/>
        <v>158.5</v>
      </c>
      <c r="O10" s="169"/>
      <c r="P10" s="179">
        <f t="shared" si="2"/>
        <v>-26971.707396146328</v>
      </c>
      <c r="Q10" s="180">
        <f t="shared" si="3"/>
        <v>-0.6674017617139627</v>
      </c>
      <c r="S10" s="179">
        <f t="shared" si="4"/>
        <v>-105.79400000000001</v>
      </c>
      <c r="T10" s="180">
        <f t="shared" si="5"/>
        <v>-0.66747003154574136</v>
      </c>
    </row>
    <row r="11" spans="1:20">
      <c r="A11" s="169">
        <v>44013</v>
      </c>
      <c r="B11" s="191">
        <f t="shared" si="0"/>
        <v>14297.845941522981</v>
      </c>
      <c r="C11" s="193">
        <f t="shared" si="0"/>
        <v>52.705999999999996</v>
      </c>
      <c r="L11" s="169">
        <v>44013</v>
      </c>
      <c r="M11" s="191">
        <f t="shared" si="1"/>
        <v>42988.0099999999</v>
      </c>
      <c r="N11" s="193">
        <f t="shared" si="1"/>
        <v>158.5</v>
      </c>
      <c r="O11" s="169"/>
      <c r="P11" s="179">
        <f t="shared" si="2"/>
        <v>-28690.164058476919</v>
      </c>
      <c r="Q11" s="180">
        <f t="shared" si="3"/>
        <v>-0.66739921337314723</v>
      </c>
      <c r="S11" s="179">
        <f t="shared" si="4"/>
        <v>-105.79400000000001</v>
      </c>
      <c r="T11" s="180">
        <f t="shared" si="5"/>
        <v>-0.66747003154574136</v>
      </c>
    </row>
    <row r="12" spans="1:20">
      <c r="A12" s="169">
        <v>44044</v>
      </c>
      <c r="B12" s="191">
        <f t="shared" si="0"/>
        <v>15931.87051956407</v>
      </c>
      <c r="C12" s="193">
        <f t="shared" si="0"/>
        <v>52.705999999999996</v>
      </c>
      <c r="L12" s="169">
        <v>44044</v>
      </c>
      <c r="M12" s="191">
        <f t="shared" si="1"/>
        <v>47900.889999999854</v>
      </c>
      <c r="N12" s="193">
        <f t="shared" si="1"/>
        <v>158.5</v>
      </c>
      <c r="O12" s="169"/>
      <c r="P12" s="179">
        <f t="shared" si="2"/>
        <v>-31969.019480435782</v>
      </c>
      <c r="Q12" s="180">
        <f t="shared" si="3"/>
        <v>-0.66739927964670132</v>
      </c>
      <c r="S12" s="179">
        <f t="shared" si="4"/>
        <v>-105.79400000000001</v>
      </c>
      <c r="T12" s="180">
        <f t="shared" si="5"/>
        <v>-0.66747003154574136</v>
      </c>
    </row>
    <row r="13" spans="1:20">
      <c r="A13" s="169">
        <v>44075</v>
      </c>
      <c r="B13" s="191">
        <f t="shared" si="0"/>
        <v>17394.612141431397</v>
      </c>
      <c r="C13" s="193">
        <f t="shared" si="0"/>
        <v>52.705999999999996</v>
      </c>
      <c r="L13" s="169">
        <v>44075</v>
      </c>
      <c r="M13" s="191">
        <f t="shared" si="1"/>
        <v>52298.699999999786</v>
      </c>
      <c r="N13" s="193">
        <f t="shared" si="1"/>
        <v>158.5</v>
      </c>
      <c r="O13" s="169"/>
      <c r="P13" s="179">
        <f t="shared" si="2"/>
        <v>-34904.087858568389</v>
      </c>
      <c r="Q13" s="180">
        <f t="shared" si="3"/>
        <v>-0.6673987662899562</v>
      </c>
      <c r="S13" s="179">
        <f t="shared" si="4"/>
        <v>-105.79400000000001</v>
      </c>
      <c r="T13" s="180">
        <f t="shared" si="5"/>
        <v>-0.66747003154574136</v>
      </c>
    </row>
    <row r="14" spans="1:20">
      <c r="A14" s="169">
        <v>44105</v>
      </c>
      <c r="B14" s="191">
        <f t="shared" si="0"/>
        <v>20425.492005766078</v>
      </c>
      <c r="C14" s="193">
        <f t="shared" si="0"/>
        <v>52.705999999999996</v>
      </c>
      <c r="L14" s="169">
        <v>44105</v>
      </c>
      <c r="M14" s="191">
        <f t="shared" si="1"/>
        <v>61410.99999999968</v>
      </c>
      <c r="N14" s="193">
        <f t="shared" si="1"/>
        <v>158.5</v>
      </c>
      <c r="O14" s="169"/>
      <c r="P14" s="179">
        <f t="shared" si="2"/>
        <v>-40985.507994233601</v>
      </c>
      <c r="Q14" s="180">
        <f t="shared" si="3"/>
        <v>-0.66739685063317344</v>
      </c>
      <c r="S14" s="179">
        <f t="shared" si="4"/>
        <v>-105.79400000000001</v>
      </c>
      <c r="T14" s="180">
        <f t="shared" si="5"/>
        <v>-0.66747003154574136</v>
      </c>
    </row>
    <row r="15" spans="1:20">
      <c r="A15" s="169">
        <v>44136</v>
      </c>
      <c r="B15" s="191">
        <f t="shared" si="0"/>
        <v>22138.583281781997</v>
      </c>
      <c r="C15" s="193">
        <f t="shared" si="0"/>
        <v>52.705999999999996</v>
      </c>
      <c r="L15" s="169">
        <v>44136</v>
      </c>
      <c r="M15" s="191">
        <f t="shared" si="1"/>
        <v>66562.439999999784</v>
      </c>
      <c r="N15" s="193">
        <f t="shared" si="1"/>
        <v>158.5</v>
      </c>
      <c r="O15" s="169"/>
      <c r="P15" s="179">
        <f t="shared" si="2"/>
        <v>-44423.856718217787</v>
      </c>
      <c r="Q15" s="180">
        <f t="shared" si="3"/>
        <v>-0.66740126591239646</v>
      </c>
      <c r="S15" s="179">
        <f t="shared" si="4"/>
        <v>-105.79400000000001</v>
      </c>
      <c r="T15" s="180">
        <f t="shared" si="5"/>
        <v>-0.66747003154574136</v>
      </c>
    </row>
    <row r="16" spans="1:20">
      <c r="A16" s="169">
        <v>44166</v>
      </c>
      <c r="B16" s="191">
        <f t="shared" si="0"/>
        <v>24510.584237365758</v>
      </c>
      <c r="C16" s="193">
        <f t="shared" si="0"/>
        <v>52.705999999999996</v>
      </c>
      <c r="L16" s="169">
        <v>44166</v>
      </c>
      <c r="M16" s="191">
        <f t="shared" si="1"/>
        <v>73694.439999999726</v>
      </c>
      <c r="N16" s="193">
        <f t="shared" si="1"/>
        <v>158.5</v>
      </c>
      <c r="O16" s="169"/>
      <c r="P16" s="181">
        <f t="shared" si="2"/>
        <v>-49183.855762633968</v>
      </c>
      <c r="Q16" s="182">
        <f t="shared" si="3"/>
        <v>-0.66740253081011469</v>
      </c>
      <c r="S16" s="179">
        <f t="shared" si="4"/>
        <v>-105.79400000000001</v>
      </c>
      <c r="T16" s="180">
        <f t="shared" si="5"/>
        <v>-0.66747003154574136</v>
      </c>
    </row>
    <row r="17" spans="1:20">
      <c r="A17" s="170" t="s">
        <v>32</v>
      </c>
      <c r="B17" s="192">
        <f>SUM(B5:B16)</f>
        <v>229832.84868997012</v>
      </c>
      <c r="C17" s="192">
        <f>SUM(C5:C16)</f>
        <v>632.47200000000009</v>
      </c>
      <c r="L17" s="170" t="s">
        <v>32</v>
      </c>
      <c r="M17" s="192">
        <f>SUM(M5:M16)</f>
        <v>691016.88999999734</v>
      </c>
      <c r="N17" s="192">
        <f>SUM(N5:N16)</f>
        <v>1902</v>
      </c>
      <c r="O17" s="170"/>
      <c r="P17" s="179">
        <f t="shared" si="2"/>
        <v>-461184.04131002724</v>
      </c>
      <c r="Q17" s="180">
        <f t="shared" si="3"/>
        <v>-0.66739908674305926</v>
      </c>
      <c r="S17" s="194">
        <f t="shared" si="4"/>
        <v>-1269.5279999999998</v>
      </c>
      <c r="T17" s="195">
        <f t="shared" si="5"/>
        <v>-0.66747003154574125</v>
      </c>
    </row>
    <row r="21" spans="1:20">
      <c r="A21" s="364" t="s">
        <v>170</v>
      </c>
      <c r="B21" s="364"/>
      <c r="M21" s="132" t="s">
        <v>174</v>
      </c>
      <c r="P21" s="367" t="s">
        <v>88</v>
      </c>
      <c r="Q21" s="367"/>
      <c r="S21" s="367" t="s">
        <v>88</v>
      </c>
      <c r="T21" s="367"/>
    </row>
    <row r="22" spans="1:20" ht="31">
      <c r="A22" s="172" t="s">
        <v>155</v>
      </c>
      <c r="B22" s="172" t="s">
        <v>154</v>
      </c>
      <c r="C22" s="173" t="s">
        <v>60</v>
      </c>
      <c r="D22" s="173" t="s">
        <v>156</v>
      </c>
      <c r="E22" s="173" t="s">
        <v>157</v>
      </c>
      <c r="G22" s="174" t="s">
        <v>173</v>
      </c>
      <c r="M22" s="131" t="s">
        <v>147</v>
      </c>
      <c r="N22" s="131" t="s">
        <v>60</v>
      </c>
      <c r="P22" s="131" t="s">
        <v>147</v>
      </c>
      <c r="Q22" s="131" t="s">
        <v>146</v>
      </c>
      <c r="S22" s="178" t="s">
        <v>60</v>
      </c>
      <c r="T22" s="178" t="s">
        <v>146</v>
      </c>
    </row>
    <row r="23" spans="1:20">
      <c r="A23" s="169">
        <v>43466</v>
      </c>
      <c r="B23" s="188">
        <f t="shared" ref="B23:B34" si="6">C23*D23*E23</f>
        <v>1359.75650021248</v>
      </c>
      <c r="C23" s="167">
        <v>2.8759999999999999</v>
      </c>
      <c r="D23" s="196">
        <v>31</v>
      </c>
      <c r="E23" s="197">
        <v>15.25143008</v>
      </c>
      <c r="G23" s="190" t="s">
        <v>169</v>
      </c>
      <c r="M23" s="175">
        <v>1361.5200000000118</v>
      </c>
      <c r="N23" s="187">
        <v>2.9</v>
      </c>
      <c r="P23" s="179">
        <f t="shared" ref="P23:P35" si="7">B23-M23</f>
        <v>-1.7634997875318277</v>
      </c>
      <c r="Q23" s="180">
        <f t="shared" ref="Q23:Q35" si="8">P23/M23</f>
        <v>-1.2952433952727925E-3</v>
      </c>
      <c r="S23" s="179">
        <f t="shared" ref="S23:S35" si="9">C23-N23</f>
        <v>-2.4000000000000021E-2</v>
      </c>
      <c r="T23" s="180">
        <f t="shared" ref="T23:T35" si="10">S23/N23</f>
        <v>-8.2758620689655244E-3</v>
      </c>
    </row>
    <row r="24" spans="1:20">
      <c r="A24" s="169">
        <v>43497</v>
      </c>
      <c r="B24" s="188">
        <f t="shared" si="6"/>
        <v>1167.7651098030399</v>
      </c>
      <c r="C24" s="167">
        <v>2.8759999999999999</v>
      </c>
      <c r="D24" s="196">
        <v>28</v>
      </c>
      <c r="E24" s="197">
        <v>14.50135493</v>
      </c>
      <c r="M24" s="175">
        <v>1169.2800000000038</v>
      </c>
      <c r="N24" s="187">
        <v>2.9</v>
      </c>
      <c r="P24" s="179">
        <f t="shared" si="7"/>
        <v>-1.514890196963961</v>
      </c>
      <c r="Q24" s="180">
        <f t="shared" si="8"/>
        <v>-1.29557522318346E-3</v>
      </c>
      <c r="S24" s="179">
        <f t="shared" si="9"/>
        <v>-2.4000000000000021E-2</v>
      </c>
      <c r="T24" s="180">
        <f t="shared" si="10"/>
        <v>-8.2758620689655244E-3</v>
      </c>
    </row>
    <row r="25" spans="1:20">
      <c r="A25" s="169">
        <v>43525</v>
      </c>
      <c r="B25" s="188">
        <f t="shared" si="6"/>
        <v>1159.13638605764</v>
      </c>
      <c r="C25" s="167">
        <v>2.8759999999999999</v>
      </c>
      <c r="D25" s="196">
        <v>31</v>
      </c>
      <c r="E25" s="197">
        <v>13.00121569</v>
      </c>
      <c r="M25" s="175">
        <v>1160.6400000000037</v>
      </c>
      <c r="N25" s="187">
        <v>2.9</v>
      </c>
      <c r="P25" s="179">
        <f t="shared" si="7"/>
        <v>-1.5036139423636996</v>
      </c>
      <c r="Q25" s="180">
        <f t="shared" si="8"/>
        <v>-1.2955041549177133E-3</v>
      </c>
      <c r="S25" s="179">
        <f t="shared" si="9"/>
        <v>-2.4000000000000021E-2</v>
      </c>
      <c r="T25" s="180">
        <f t="shared" si="10"/>
        <v>-8.2758620689655244E-3</v>
      </c>
    </row>
    <row r="26" spans="1:20">
      <c r="A26" s="169">
        <v>43556</v>
      </c>
      <c r="B26" s="188">
        <f t="shared" si="6"/>
        <v>970.74116172240008</v>
      </c>
      <c r="C26" s="167">
        <v>2.8759999999999999</v>
      </c>
      <c r="D26" s="196">
        <v>30</v>
      </c>
      <c r="E26" s="197">
        <v>11.25105658</v>
      </c>
      <c r="M26" s="175">
        <v>971.9999999999992</v>
      </c>
      <c r="N26" s="187">
        <v>2.9</v>
      </c>
      <c r="P26" s="179">
        <f t="shared" si="7"/>
        <v>-1.2588382775991249</v>
      </c>
      <c r="Q26" s="180">
        <f t="shared" si="8"/>
        <v>-1.2951011086410761E-3</v>
      </c>
      <c r="S26" s="179">
        <f t="shared" si="9"/>
        <v>-2.4000000000000021E-2</v>
      </c>
      <c r="T26" s="180">
        <f t="shared" si="10"/>
        <v>-8.2758620689655244E-3</v>
      </c>
    </row>
    <row r="27" spans="1:20">
      <c r="A27" s="169">
        <v>43586</v>
      </c>
      <c r="B27" s="188">
        <f t="shared" si="6"/>
        <v>891.64317987331981</v>
      </c>
      <c r="C27" s="167">
        <v>2.8759999999999999</v>
      </c>
      <c r="D27" s="196">
        <v>31</v>
      </c>
      <c r="E27" s="197">
        <v>10.000932969999999</v>
      </c>
      <c r="M27" s="175">
        <v>892.79999999999927</v>
      </c>
      <c r="N27" s="187">
        <v>2.9</v>
      </c>
      <c r="P27" s="179">
        <f t="shared" si="7"/>
        <v>-1.1568201266794631</v>
      </c>
      <c r="Q27" s="180">
        <f t="shared" si="8"/>
        <v>-1.2957214680549551E-3</v>
      </c>
      <c r="S27" s="179">
        <f t="shared" si="9"/>
        <v>-2.4000000000000021E-2</v>
      </c>
      <c r="T27" s="180">
        <f t="shared" si="10"/>
        <v>-8.2758620689655244E-3</v>
      </c>
    </row>
    <row r="28" spans="1:20">
      <c r="A28" s="169">
        <v>43617</v>
      </c>
      <c r="B28" s="188">
        <f t="shared" si="6"/>
        <v>733.44889630559999</v>
      </c>
      <c r="C28" s="167">
        <v>2.8759999999999999</v>
      </c>
      <c r="D28" s="196">
        <v>30</v>
      </c>
      <c r="E28" s="197">
        <v>8.50079852</v>
      </c>
      <c r="M28" s="175">
        <v>734.39999999999907</v>
      </c>
      <c r="N28" s="187">
        <v>2.9</v>
      </c>
      <c r="P28" s="179">
        <f t="shared" si="7"/>
        <v>-0.95110369439908027</v>
      </c>
      <c r="Q28" s="180">
        <f t="shared" si="8"/>
        <v>-1.2950758366000565E-3</v>
      </c>
      <c r="S28" s="179">
        <f t="shared" si="9"/>
        <v>-2.4000000000000021E-2</v>
      </c>
      <c r="T28" s="180">
        <f t="shared" si="10"/>
        <v>-8.2758620689655244E-3</v>
      </c>
    </row>
    <row r="29" spans="1:20" ht="15.65" customHeight="1">
      <c r="A29" s="169">
        <v>43647</v>
      </c>
      <c r="B29" s="188">
        <f t="shared" si="6"/>
        <v>780.18830736197185</v>
      </c>
      <c r="C29" s="167">
        <v>2.8759999999999999</v>
      </c>
      <c r="D29" s="196">
        <v>31</v>
      </c>
      <c r="E29" s="197">
        <v>8.7508222369999995</v>
      </c>
      <c r="M29" s="175">
        <v>781.19999999999891</v>
      </c>
      <c r="N29" s="187">
        <v>2.9</v>
      </c>
      <c r="P29" s="179">
        <f t="shared" si="7"/>
        <v>-1.011692638027057</v>
      </c>
      <c r="Q29" s="180">
        <f t="shared" si="8"/>
        <v>-1.2950494598400646E-3</v>
      </c>
      <c r="S29" s="179">
        <f t="shared" si="9"/>
        <v>-2.4000000000000021E-2</v>
      </c>
      <c r="T29" s="180">
        <f t="shared" si="10"/>
        <v>-8.2758620689655244E-3</v>
      </c>
    </row>
    <row r="30" spans="1:20">
      <c r="A30" s="169">
        <v>43678</v>
      </c>
      <c r="B30" s="188">
        <f t="shared" si="6"/>
        <v>869.35186912811196</v>
      </c>
      <c r="C30" s="167">
        <v>2.8759999999999999</v>
      </c>
      <c r="D30" s="196">
        <v>31</v>
      </c>
      <c r="E30" s="197">
        <v>9.7509070520000005</v>
      </c>
      <c r="M30" s="175">
        <v>870.48000000000013</v>
      </c>
      <c r="N30" s="187">
        <v>2.9</v>
      </c>
      <c r="P30" s="179">
        <f t="shared" si="7"/>
        <v>-1.1281308718881746</v>
      </c>
      <c r="Q30" s="180">
        <f t="shared" si="8"/>
        <v>-1.2959871242167245E-3</v>
      </c>
      <c r="S30" s="179">
        <f t="shared" si="9"/>
        <v>-2.4000000000000021E-2</v>
      </c>
      <c r="T30" s="180">
        <f t="shared" si="10"/>
        <v>-8.2758620689655244E-3</v>
      </c>
    </row>
    <row r="31" spans="1:20">
      <c r="A31" s="169">
        <v>43709</v>
      </c>
      <c r="B31" s="188">
        <f t="shared" si="6"/>
        <v>949.16906080440003</v>
      </c>
      <c r="C31" s="167">
        <v>2.8759999999999999</v>
      </c>
      <c r="D31" s="196">
        <v>30</v>
      </c>
      <c r="E31" s="197">
        <v>11.00103223</v>
      </c>
      <c r="M31" s="175">
        <v>950.39999999999918</v>
      </c>
      <c r="N31" s="187">
        <v>2.9</v>
      </c>
      <c r="P31" s="179">
        <f t="shared" si="7"/>
        <v>-1.2309391955991487</v>
      </c>
      <c r="Q31" s="180">
        <f t="shared" si="8"/>
        <v>-1.2951801300496103E-3</v>
      </c>
      <c r="S31" s="179">
        <f t="shared" si="9"/>
        <v>-2.4000000000000021E-2</v>
      </c>
      <c r="T31" s="180">
        <f t="shared" si="10"/>
        <v>-8.2758620689655244E-3</v>
      </c>
    </row>
    <row r="32" spans="1:20">
      <c r="A32" s="169">
        <v>43739</v>
      </c>
      <c r="B32" s="188">
        <f t="shared" si="6"/>
        <v>1114.5546049516799</v>
      </c>
      <c r="C32" s="167">
        <v>2.8759999999999999</v>
      </c>
      <c r="D32" s="196">
        <v>31</v>
      </c>
      <c r="E32" s="197">
        <v>12.50117328</v>
      </c>
      <c r="M32" s="175">
        <v>1116.0000000000032</v>
      </c>
      <c r="N32" s="187">
        <v>2.9</v>
      </c>
      <c r="P32" s="179">
        <f t="shared" si="7"/>
        <v>-1.4453950483232347</v>
      </c>
      <c r="Q32" s="180">
        <f t="shared" si="8"/>
        <v>-1.2951568533362281E-3</v>
      </c>
      <c r="S32" s="179">
        <f t="shared" si="9"/>
        <v>-2.4000000000000021E-2</v>
      </c>
      <c r="T32" s="180">
        <f t="shared" si="10"/>
        <v>-8.2758620689655244E-3</v>
      </c>
    </row>
    <row r="33" spans="1:20">
      <c r="A33" s="169">
        <v>43770</v>
      </c>
      <c r="B33" s="188">
        <f t="shared" si="6"/>
        <v>1208.0325867719998</v>
      </c>
      <c r="C33" s="167">
        <v>2.8759999999999999</v>
      </c>
      <c r="D33" s="196">
        <v>30</v>
      </c>
      <c r="E33" s="197">
        <v>14.001304899999999</v>
      </c>
      <c r="M33" s="175">
        <v>1209.6000000000056</v>
      </c>
      <c r="N33" s="187">
        <v>2.9</v>
      </c>
      <c r="P33" s="179">
        <f t="shared" si="7"/>
        <v>-1.567413228005762</v>
      </c>
      <c r="Q33" s="180">
        <f t="shared" si="8"/>
        <v>-1.2958112004015829E-3</v>
      </c>
      <c r="S33" s="179">
        <f t="shared" si="9"/>
        <v>-2.4000000000000021E-2</v>
      </c>
      <c r="T33" s="180">
        <f t="shared" si="10"/>
        <v>-8.2758620689655244E-3</v>
      </c>
    </row>
    <row r="34" spans="1:20">
      <c r="A34" s="169">
        <v>43800</v>
      </c>
      <c r="B34" s="188">
        <f t="shared" si="6"/>
        <v>1337.4651892889599</v>
      </c>
      <c r="C34" s="167">
        <v>2.8759999999999999</v>
      </c>
      <c r="D34" s="196">
        <v>31</v>
      </c>
      <c r="E34" s="197">
        <v>15.00140416</v>
      </c>
      <c r="M34" s="175">
        <v>1339.2000000000119</v>
      </c>
      <c r="N34" s="187">
        <v>2.9</v>
      </c>
      <c r="P34" s="181">
        <f t="shared" si="7"/>
        <v>-1.7348107110519777</v>
      </c>
      <c r="Q34" s="182">
        <f t="shared" si="8"/>
        <v>-1.2954082370459695E-3</v>
      </c>
      <c r="S34" s="179">
        <f t="shared" si="9"/>
        <v>-2.4000000000000021E-2</v>
      </c>
      <c r="T34" s="180">
        <f t="shared" si="10"/>
        <v>-8.2758620689655244E-3</v>
      </c>
    </row>
    <row r="35" spans="1:20">
      <c r="A35" s="170" t="s">
        <v>32</v>
      </c>
      <c r="B35" s="189">
        <f>SUM(B23:B34)</f>
        <v>12541.252852281603</v>
      </c>
      <c r="C35" s="192">
        <f>SUM(C23:C34)</f>
        <v>34.512000000000008</v>
      </c>
      <c r="M35" s="177">
        <f>SUM(M23:M34)</f>
        <v>12557.520000000037</v>
      </c>
      <c r="N35" s="177">
        <f>SUM(N23:N34)</f>
        <v>34.79999999999999</v>
      </c>
      <c r="P35" s="179">
        <f t="shared" si="7"/>
        <v>-16.267147718433989</v>
      </c>
      <c r="Q35" s="180">
        <f t="shared" si="8"/>
        <v>-1.2954108548848772E-3</v>
      </c>
      <c r="S35" s="194">
        <f t="shared" si="9"/>
        <v>-0.28799999999998249</v>
      </c>
      <c r="T35" s="195">
        <f t="shared" si="10"/>
        <v>-8.2758620689650161E-3</v>
      </c>
    </row>
    <row r="36" spans="1:20">
      <c r="A36" s="183"/>
      <c r="B36" s="184"/>
      <c r="M36" s="185"/>
      <c r="N36" s="176"/>
      <c r="P36" s="179"/>
      <c r="Q36" s="180"/>
    </row>
    <row r="38" spans="1:20">
      <c r="A38" s="368" t="s">
        <v>171</v>
      </c>
      <c r="B38" s="368"/>
      <c r="C38" s="368"/>
      <c r="D38" s="368"/>
      <c r="E38" s="368"/>
      <c r="M38" s="132" t="s">
        <v>175</v>
      </c>
      <c r="P38" s="367" t="s">
        <v>88</v>
      </c>
      <c r="Q38" s="367"/>
      <c r="S38" s="367" t="s">
        <v>88</v>
      </c>
      <c r="T38" s="367"/>
    </row>
    <row r="39" spans="1:20" ht="29">
      <c r="A39" s="279" t="s">
        <v>155</v>
      </c>
      <c r="B39" s="279" t="s">
        <v>154</v>
      </c>
      <c r="C39" s="278" t="s">
        <v>60</v>
      </c>
      <c r="D39" s="278" t="s">
        <v>156</v>
      </c>
      <c r="E39" s="278" t="s">
        <v>157</v>
      </c>
      <c r="H39" s="171"/>
      <c r="M39" s="131" t="s">
        <v>147</v>
      </c>
      <c r="N39" s="131" t="s">
        <v>60</v>
      </c>
      <c r="P39" s="131" t="s">
        <v>147</v>
      </c>
      <c r="Q39" s="131" t="s">
        <v>146</v>
      </c>
      <c r="S39" s="178" t="s">
        <v>60</v>
      </c>
      <c r="T39" s="178" t="s">
        <v>146</v>
      </c>
    </row>
    <row r="40" spans="1:20">
      <c r="A40" s="308" t="s">
        <v>158</v>
      </c>
      <c r="B40" s="309">
        <f t="shared" ref="B40:B51" si="11">C40*D40*E40</f>
        <v>16183.750000790398</v>
      </c>
      <c r="C40" s="310">
        <v>34.229999999999997</v>
      </c>
      <c r="D40" s="196">
        <v>31</v>
      </c>
      <c r="E40" s="197">
        <v>15.25143008</v>
      </c>
      <c r="G40" s="168"/>
      <c r="H40" s="168"/>
      <c r="M40" s="175">
        <v>43507.259999999718</v>
      </c>
      <c r="N40" s="187">
        <v>92</v>
      </c>
      <c r="P40" s="179">
        <f t="shared" ref="P40:P52" si="12">B40-M40</f>
        <v>-27323.50999920932</v>
      </c>
      <c r="Q40" s="180">
        <f t="shared" ref="Q40:Q52" si="13">P40/M40</f>
        <v>-0.62802185196699345</v>
      </c>
      <c r="S40" s="179">
        <f t="shared" ref="S40:S52" si="14">C40-N40</f>
        <v>-57.77</v>
      </c>
      <c r="T40" s="180">
        <f t="shared" ref="T40:T52" si="15">S40/N40</f>
        <v>-0.62793478260869573</v>
      </c>
    </row>
    <row r="41" spans="1:20">
      <c r="A41" s="308" t="s">
        <v>159</v>
      </c>
      <c r="B41" s="309">
        <f t="shared" si="11"/>
        <v>13898.6786191092</v>
      </c>
      <c r="C41" s="310">
        <v>34.229999999999997</v>
      </c>
      <c r="D41" s="196">
        <v>28</v>
      </c>
      <c r="E41" s="197">
        <v>14.50135493</v>
      </c>
      <c r="G41" s="168"/>
      <c r="H41" s="168"/>
      <c r="M41" s="175">
        <v>37364.59999999978</v>
      </c>
      <c r="N41" s="187">
        <v>92</v>
      </c>
      <c r="P41" s="179">
        <f t="shared" si="12"/>
        <v>-23465.921380890581</v>
      </c>
      <c r="Q41" s="180">
        <f t="shared" si="13"/>
        <v>-0.62802549420817344</v>
      </c>
      <c r="S41" s="179">
        <f t="shared" si="14"/>
        <v>-57.77</v>
      </c>
      <c r="T41" s="180">
        <f t="shared" si="15"/>
        <v>-0.62793478260869573</v>
      </c>
    </row>
    <row r="42" spans="1:20">
      <c r="A42" s="308" t="s">
        <v>160</v>
      </c>
      <c r="B42" s="309">
        <f t="shared" si="11"/>
        <v>13795.980005129699</v>
      </c>
      <c r="C42" s="310">
        <v>34.229999999999997</v>
      </c>
      <c r="D42" s="196">
        <v>31</v>
      </c>
      <c r="E42" s="197">
        <v>13.00121569</v>
      </c>
      <c r="G42" s="168"/>
      <c r="H42" s="168"/>
      <c r="M42" s="175">
        <v>37088.089999999793</v>
      </c>
      <c r="N42" s="187">
        <v>92</v>
      </c>
      <c r="P42" s="179">
        <f t="shared" si="12"/>
        <v>-23292.109994870094</v>
      </c>
      <c r="Q42" s="180">
        <f t="shared" si="13"/>
        <v>-0.628021286479574</v>
      </c>
      <c r="S42" s="179">
        <f t="shared" si="14"/>
        <v>-57.77</v>
      </c>
      <c r="T42" s="180">
        <f t="shared" si="15"/>
        <v>-0.62793478260869573</v>
      </c>
    </row>
    <row r="43" spans="1:20">
      <c r="A43" s="308" t="s">
        <v>161</v>
      </c>
      <c r="B43" s="309">
        <f t="shared" si="11"/>
        <v>11553.710002001999</v>
      </c>
      <c r="C43" s="310">
        <v>34.229999999999997</v>
      </c>
      <c r="D43" s="196">
        <v>30</v>
      </c>
      <c r="E43" s="197">
        <v>11.25105658</v>
      </c>
      <c r="G43" s="171"/>
      <c r="H43" s="171"/>
      <c r="M43" s="175">
        <v>31060.199999999848</v>
      </c>
      <c r="N43" s="187">
        <v>92</v>
      </c>
      <c r="P43" s="179">
        <f t="shared" si="12"/>
        <v>-19506.489997997851</v>
      </c>
      <c r="Q43" s="180">
        <f t="shared" si="13"/>
        <v>-0.62802203456506867</v>
      </c>
      <c r="S43" s="179">
        <f t="shared" si="14"/>
        <v>-57.77</v>
      </c>
      <c r="T43" s="180">
        <f t="shared" si="15"/>
        <v>-0.62793478260869573</v>
      </c>
    </row>
    <row r="44" spans="1:20">
      <c r="A44" s="308" t="s">
        <v>6</v>
      </c>
      <c r="B44" s="309">
        <f t="shared" si="11"/>
        <v>10612.290002456099</v>
      </c>
      <c r="C44" s="310">
        <v>34.229999999999997</v>
      </c>
      <c r="D44" s="196">
        <v>31</v>
      </c>
      <c r="E44" s="197">
        <v>10.000932969999999</v>
      </c>
      <c r="G44" s="171"/>
      <c r="H44" s="171"/>
      <c r="M44" s="175">
        <v>28529.609999999881</v>
      </c>
      <c r="N44" s="187">
        <v>92</v>
      </c>
      <c r="P44" s="179">
        <f t="shared" si="12"/>
        <v>-17917.319997543782</v>
      </c>
      <c r="Q44" s="180">
        <f t="shared" si="13"/>
        <v>-0.62802540930436335</v>
      </c>
      <c r="S44" s="179">
        <f t="shared" si="14"/>
        <v>-57.77</v>
      </c>
      <c r="T44" s="180">
        <f t="shared" si="15"/>
        <v>-0.62793478260869573</v>
      </c>
    </row>
    <row r="45" spans="1:20">
      <c r="A45" s="308" t="s">
        <v>162</v>
      </c>
      <c r="B45" s="309">
        <f t="shared" si="11"/>
        <v>8729.4700001879992</v>
      </c>
      <c r="C45" s="310">
        <v>34.229999999999997</v>
      </c>
      <c r="D45" s="196">
        <v>30</v>
      </c>
      <c r="E45" s="197">
        <v>8.50079852</v>
      </c>
      <c r="G45" s="171"/>
      <c r="H45" s="171"/>
      <c r="M45" s="175">
        <v>23468.099999999959</v>
      </c>
      <c r="N45" s="187">
        <v>92</v>
      </c>
      <c r="P45" s="179">
        <f t="shared" si="12"/>
        <v>-14738.629999811959</v>
      </c>
      <c r="Q45" s="180">
        <f t="shared" si="13"/>
        <v>-0.62802825962953901</v>
      </c>
      <c r="S45" s="179">
        <f t="shared" si="14"/>
        <v>-57.77</v>
      </c>
      <c r="T45" s="180">
        <f t="shared" si="15"/>
        <v>-0.62793478260869573</v>
      </c>
    </row>
    <row r="46" spans="1:20">
      <c r="A46" s="308" t="s">
        <v>163</v>
      </c>
      <c r="B46" s="309">
        <f t="shared" si="11"/>
        <v>9285.7600003478092</v>
      </c>
      <c r="C46" s="310">
        <v>34.229999999999997</v>
      </c>
      <c r="D46" s="196">
        <v>31</v>
      </c>
      <c r="E46" s="197">
        <v>8.7508222369999995</v>
      </c>
      <c r="G46" s="171"/>
      <c r="H46" s="171"/>
      <c r="M46" s="175">
        <v>24963.369999999941</v>
      </c>
      <c r="N46" s="187">
        <v>92</v>
      </c>
      <c r="P46" s="179">
        <f t="shared" si="12"/>
        <v>-15677.609999652132</v>
      </c>
      <c r="Q46" s="180">
        <f t="shared" si="13"/>
        <v>-0.62802458160305152</v>
      </c>
      <c r="S46" s="179">
        <f t="shared" si="14"/>
        <v>-57.77</v>
      </c>
      <c r="T46" s="180">
        <f t="shared" si="15"/>
        <v>-0.62793478260869573</v>
      </c>
    </row>
    <row r="47" spans="1:20">
      <c r="A47" s="308" t="s">
        <v>164</v>
      </c>
      <c r="B47" s="309">
        <f t="shared" si="11"/>
        <v>10346.980000088759</v>
      </c>
      <c r="C47" s="310">
        <v>34.229999999999997</v>
      </c>
      <c r="D47" s="196">
        <v>31</v>
      </c>
      <c r="E47" s="197">
        <v>9.7509070520000005</v>
      </c>
      <c r="G47" s="171"/>
      <c r="H47" s="171"/>
      <c r="M47" s="175">
        <v>27816.299999999908</v>
      </c>
      <c r="N47" s="187">
        <v>92</v>
      </c>
      <c r="P47" s="179">
        <f t="shared" si="12"/>
        <v>-17469.319999911149</v>
      </c>
      <c r="Q47" s="180">
        <f t="shared" si="13"/>
        <v>-0.62802457551547863</v>
      </c>
      <c r="S47" s="179">
        <f t="shared" si="14"/>
        <v>-57.77</v>
      </c>
      <c r="T47" s="180">
        <f t="shared" si="15"/>
        <v>-0.62793478260869573</v>
      </c>
    </row>
    <row r="48" spans="1:20">
      <c r="A48" s="308" t="s">
        <v>165</v>
      </c>
      <c r="B48" s="309">
        <f t="shared" si="11"/>
        <v>11296.959996986998</v>
      </c>
      <c r="C48" s="310">
        <v>34.229999999999997</v>
      </c>
      <c r="D48" s="196">
        <v>30</v>
      </c>
      <c r="E48" s="197">
        <v>11.00103223</v>
      </c>
      <c r="G48" s="171"/>
      <c r="H48" s="171"/>
      <c r="M48" s="175">
        <v>30370.199999999855</v>
      </c>
      <c r="N48" s="187">
        <v>92</v>
      </c>
      <c r="P48" s="179">
        <f t="shared" si="12"/>
        <v>-19073.240003012856</v>
      </c>
      <c r="Q48" s="180">
        <f t="shared" si="13"/>
        <v>-0.62802484023855443</v>
      </c>
      <c r="S48" s="179">
        <f t="shared" si="14"/>
        <v>-57.77</v>
      </c>
      <c r="T48" s="180">
        <f t="shared" si="15"/>
        <v>-0.62793478260869573</v>
      </c>
    </row>
    <row r="49" spans="1:20">
      <c r="A49" s="308" t="s">
        <v>166</v>
      </c>
      <c r="B49" s="309">
        <f t="shared" si="11"/>
        <v>13265.370002606398</v>
      </c>
      <c r="C49" s="310">
        <v>34.229999999999997</v>
      </c>
      <c r="D49" s="196">
        <v>31</v>
      </c>
      <c r="E49" s="197">
        <v>12.50117328</v>
      </c>
      <c r="G49" s="171"/>
      <c r="H49" s="171"/>
      <c r="M49" s="175">
        <v>35661.779999999788</v>
      </c>
      <c r="N49" s="187">
        <v>92</v>
      </c>
      <c r="P49" s="179">
        <f t="shared" si="12"/>
        <v>-22396.409997393392</v>
      </c>
      <c r="Q49" s="180">
        <f t="shared" si="13"/>
        <v>-0.62802277388827832</v>
      </c>
      <c r="S49" s="179">
        <f t="shared" si="14"/>
        <v>-57.77</v>
      </c>
      <c r="T49" s="180">
        <f t="shared" si="15"/>
        <v>-0.62793478260869573</v>
      </c>
    </row>
    <row r="50" spans="1:20">
      <c r="A50" s="308" t="s">
        <v>167</v>
      </c>
      <c r="B50" s="309">
        <f t="shared" si="11"/>
        <v>14377.940001809997</v>
      </c>
      <c r="C50" s="310">
        <v>34.229999999999997</v>
      </c>
      <c r="D50" s="196">
        <v>30</v>
      </c>
      <c r="E50" s="197">
        <v>14.001304899999999</v>
      </c>
      <c r="G50" s="171"/>
      <c r="H50" s="171"/>
      <c r="M50" s="175">
        <v>38652.599999999773</v>
      </c>
      <c r="N50" s="187">
        <v>92</v>
      </c>
      <c r="P50" s="179">
        <f t="shared" si="12"/>
        <v>-24274.659998189774</v>
      </c>
      <c r="Q50" s="180">
        <f t="shared" si="13"/>
        <v>-0.62802140084211455</v>
      </c>
      <c r="S50" s="179">
        <f t="shared" si="14"/>
        <v>-57.77</v>
      </c>
      <c r="T50" s="180">
        <f t="shared" si="15"/>
        <v>-0.62793478260869573</v>
      </c>
    </row>
    <row r="51" spans="1:20">
      <c r="A51" s="308" t="s">
        <v>168</v>
      </c>
      <c r="B51" s="309">
        <f t="shared" si="11"/>
        <v>15918.439996300798</v>
      </c>
      <c r="C51" s="310">
        <v>34.229999999999997</v>
      </c>
      <c r="D51" s="196">
        <v>31</v>
      </c>
      <c r="E51" s="197">
        <v>15.00140416</v>
      </c>
      <c r="G51" s="171"/>
      <c r="H51" s="171"/>
      <c r="M51" s="175">
        <v>42794.259999999711</v>
      </c>
      <c r="N51" s="187">
        <v>92</v>
      </c>
      <c r="P51" s="181">
        <f t="shared" si="12"/>
        <v>-26875.820003698915</v>
      </c>
      <c r="Q51" s="182">
        <f t="shared" si="13"/>
        <v>-0.62802394535386508</v>
      </c>
      <c r="S51" s="179">
        <f t="shared" si="14"/>
        <v>-57.77</v>
      </c>
      <c r="T51" s="180">
        <f t="shared" si="15"/>
        <v>-0.62793478260869573</v>
      </c>
    </row>
    <row r="52" spans="1:20">
      <c r="A52" s="311" t="s">
        <v>32</v>
      </c>
      <c r="B52" s="312">
        <f>SUM(B40:B51)</f>
        <v>149265.32862781617</v>
      </c>
      <c r="C52" s="313">
        <f>SUM(C40:C51)</f>
        <v>410.76000000000005</v>
      </c>
      <c r="D52" s="314"/>
      <c r="E52" s="277"/>
      <c r="M52" s="177">
        <f>SUM(M40:M51)</f>
        <v>401276.36999999796</v>
      </c>
      <c r="N52" s="177">
        <f>SUM(N40:N51)</f>
        <v>1104</v>
      </c>
      <c r="P52" s="179">
        <f t="shared" si="12"/>
        <v>-252011.04137218179</v>
      </c>
      <c r="Q52" s="180">
        <f t="shared" si="13"/>
        <v>-0.62802362713803228</v>
      </c>
      <c r="S52" s="194">
        <f t="shared" si="14"/>
        <v>-693.24</v>
      </c>
      <c r="T52" s="195">
        <f t="shared" si="15"/>
        <v>-0.62793478260869562</v>
      </c>
    </row>
    <row r="54" spans="1:20">
      <c r="B54" s="368" t="s">
        <v>172</v>
      </c>
      <c r="C54" s="368"/>
      <c r="D54" s="368"/>
      <c r="E54" s="368"/>
      <c r="M54" s="132" t="s">
        <v>176</v>
      </c>
      <c r="P54" s="367" t="s">
        <v>88</v>
      </c>
      <c r="Q54" s="367"/>
      <c r="S54" s="367" t="s">
        <v>88</v>
      </c>
      <c r="T54" s="367"/>
    </row>
    <row r="55" spans="1:20" ht="40.5" customHeight="1">
      <c r="A55" s="279" t="s">
        <v>155</v>
      </c>
      <c r="B55" s="278" t="s">
        <v>154</v>
      </c>
      <c r="C55" s="278" t="s">
        <v>60</v>
      </c>
      <c r="D55" s="278" t="s">
        <v>156</v>
      </c>
      <c r="E55" s="278" t="s">
        <v>157</v>
      </c>
      <c r="M55" s="131" t="s">
        <v>147</v>
      </c>
      <c r="N55" s="131" t="s">
        <v>60</v>
      </c>
      <c r="P55" s="131" t="s">
        <v>147</v>
      </c>
      <c r="Q55" s="131" t="s">
        <v>146</v>
      </c>
      <c r="S55" s="178" t="s">
        <v>60</v>
      </c>
      <c r="T55" s="178" t="s">
        <v>146</v>
      </c>
    </row>
    <row r="56" spans="1:20">
      <c r="A56" s="316"/>
      <c r="B56" s="317" t="s">
        <v>210</v>
      </c>
      <c r="C56" s="317" t="s">
        <v>152</v>
      </c>
      <c r="D56" s="317" t="s">
        <v>135</v>
      </c>
      <c r="E56" s="317" t="s">
        <v>136</v>
      </c>
      <c r="M56" s="186">
        <v>30052.639999999876</v>
      </c>
      <c r="N56" s="187">
        <v>63.6</v>
      </c>
      <c r="P56" s="179">
        <f t="shared" ref="P56:P68" si="16">B57-M56</f>
        <v>-22677.048413311877</v>
      </c>
      <c r="Q56" s="180">
        <f t="shared" ref="Q56:Q68" si="17">P56/M56</f>
        <v>-0.75457758164713551</v>
      </c>
      <c r="S56" s="179">
        <f t="shared" ref="S56:S68" si="18">C57-N56</f>
        <v>-48</v>
      </c>
      <c r="T56" s="180">
        <f t="shared" ref="T56:T68" si="19">S56/N56</f>
        <v>-0.75471698113207542</v>
      </c>
    </row>
    <row r="57" spans="1:20">
      <c r="A57" s="308" t="s">
        <v>158</v>
      </c>
      <c r="B57" s="309">
        <f t="shared" ref="B57:B68" si="20">C57*D57*E57</f>
        <v>7375.5915866879996</v>
      </c>
      <c r="C57" s="315">
        <v>15.6</v>
      </c>
      <c r="D57" s="196">
        <v>31</v>
      </c>
      <c r="E57" s="197">
        <v>15.25143008</v>
      </c>
      <c r="M57" s="186">
        <v>25809.559999999929</v>
      </c>
      <c r="N57" s="187">
        <v>63.6</v>
      </c>
      <c r="P57" s="179">
        <f t="shared" si="16"/>
        <v>-19475.368166575929</v>
      </c>
      <c r="Q57" s="180">
        <f t="shared" si="17"/>
        <v>-0.75457962733870643</v>
      </c>
      <c r="S57" s="179">
        <f t="shared" si="18"/>
        <v>-48</v>
      </c>
      <c r="T57" s="180">
        <f t="shared" si="19"/>
        <v>-0.75471698113207542</v>
      </c>
    </row>
    <row r="58" spans="1:20">
      <c r="A58" s="308" t="s">
        <v>159</v>
      </c>
      <c r="B58" s="309">
        <f t="shared" si="20"/>
        <v>6334.1918334239999</v>
      </c>
      <c r="C58" s="315">
        <v>15.6</v>
      </c>
      <c r="D58" s="196">
        <v>28</v>
      </c>
      <c r="E58" s="197">
        <v>14.50135493</v>
      </c>
      <c r="M58" s="186">
        <v>25618.709999999908</v>
      </c>
      <c r="N58" s="187">
        <v>63.6</v>
      </c>
      <c r="P58" s="179">
        <f t="shared" si="16"/>
        <v>-19331.32209231591</v>
      </c>
      <c r="Q58" s="180">
        <f t="shared" si="17"/>
        <v>-0.75457827862199067</v>
      </c>
      <c r="S58" s="179">
        <f t="shared" si="18"/>
        <v>-48</v>
      </c>
      <c r="T58" s="180">
        <f t="shared" si="19"/>
        <v>-0.75471698113207542</v>
      </c>
    </row>
    <row r="59" spans="1:20">
      <c r="A59" s="308" t="s">
        <v>160</v>
      </c>
      <c r="B59" s="309">
        <f t="shared" si="20"/>
        <v>6287.3879076839994</v>
      </c>
      <c r="C59" s="315">
        <v>15.6</v>
      </c>
      <c r="D59" s="196">
        <v>31</v>
      </c>
      <c r="E59" s="197">
        <v>13.00121569</v>
      </c>
      <c r="M59" s="186">
        <v>21454.799999999919</v>
      </c>
      <c r="N59" s="187">
        <v>63.6</v>
      </c>
      <c r="P59" s="179">
        <f t="shared" si="16"/>
        <v>-16189.305520559919</v>
      </c>
      <c r="Q59" s="180">
        <f t="shared" si="17"/>
        <v>-0.75457732165109814</v>
      </c>
      <c r="S59" s="179">
        <f t="shared" si="18"/>
        <v>-48</v>
      </c>
      <c r="T59" s="180">
        <f t="shared" si="19"/>
        <v>-0.75471698113207542</v>
      </c>
    </row>
    <row r="60" spans="1:20">
      <c r="A60" s="308" t="s">
        <v>161</v>
      </c>
      <c r="B60" s="309">
        <f t="shared" si="20"/>
        <v>5265.4944794399999</v>
      </c>
      <c r="C60" s="315">
        <v>15.6</v>
      </c>
      <c r="D60" s="196">
        <v>30</v>
      </c>
      <c r="E60" s="197">
        <v>11.25105658</v>
      </c>
      <c r="M60" s="186">
        <v>19706.699999999939</v>
      </c>
      <c r="N60" s="187">
        <v>63.6</v>
      </c>
      <c r="P60" s="179">
        <f t="shared" si="16"/>
        <v>-14870.248815707939</v>
      </c>
      <c r="Q60" s="180">
        <f t="shared" si="17"/>
        <v>-0.75457833202453906</v>
      </c>
      <c r="S60" s="179">
        <f t="shared" si="18"/>
        <v>-48</v>
      </c>
      <c r="T60" s="180">
        <f t="shared" si="19"/>
        <v>-0.75471698113207542</v>
      </c>
    </row>
    <row r="61" spans="1:20">
      <c r="A61" s="308" t="s">
        <v>6</v>
      </c>
      <c r="B61" s="309">
        <f t="shared" si="20"/>
        <v>4836.4511842919992</v>
      </c>
      <c r="C61" s="315">
        <v>15.6</v>
      </c>
      <c r="D61" s="196">
        <v>31</v>
      </c>
      <c r="E61" s="197">
        <v>10.000932969999999</v>
      </c>
      <c r="M61" s="186">
        <v>16210.499999999971</v>
      </c>
      <c r="N61" s="187">
        <v>63.6</v>
      </c>
      <c r="P61" s="179">
        <f t="shared" si="16"/>
        <v>-12232.12629263997</v>
      </c>
      <c r="Q61" s="180">
        <f t="shared" si="17"/>
        <v>-0.75458044431942217</v>
      </c>
      <c r="S61" s="179">
        <f t="shared" si="18"/>
        <v>-48</v>
      </c>
      <c r="T61" s="180">
        <f t="shared" si="19"/>
        <v>-0.75471698113207542</v>
      </c>
    </row>
    <row r="62" spans="1:20">
      <c r="A62" s="308" t="s">
        <v>162</v>
      </c>
      <c r="B62" s="309">
        <f t="shared" si="20"/>
        <v>3978.37370736</v>
      </c>
      <c r="C62" s="315">
        <v>15.6</v>
      </c>
      <c r="D62" s="196">
        <v>30</v>
      </c>
      <c r="E62" s="197">
        <v>8.50079852</v>
      </c>
      <c r="M62" s="186">
        <v>17243.439999999959</v>
      </c>
      <c r="N62" s="187">
        <v>63.6</v>
      </c>
      <c r="P62" s="179">
        <f t="shared" si="16"/>
        <v>-13011.542366186759</v>
      </c>
      <c r="Q62" s="180">
        <f t="shared" si="17"/>
        <v>-0.75457926992449242</v>
      </c>
      <c r="S62" s="179">
        <f t="shared" si="18"/>
        <v>-48</v>
      </c>
      <c r="T62" s="180">
        <f t="shared" si="19"/>
        <v>-0.75471698113207542</v>
      </c>
    </row>
    <row r="63" spans="1:20">
      <c r="A63" s="308" t="s">
        <v>163</v>
      </c>
      <c r="B63" s="309">
        <f t="shared" si="20"/>
        <v>4231.8976338131997</v>
      </c>
      <c r="C63" s="315">
        <v>15.6</v>
      </c>
      <c r="D63" s="196">
        <v>31</v>
      </c>
      <c r="E63" s="197">
        <v>8.7508222369999995</v>
      </c>
      <c r="M63" s="186">
        <v>19214.10999999995</v>
      </c>
      <c r="N63" s="187">
        <v>63.6</v>
      </c>
      <c r="P63" s="179">
        <f t="shared" si="16"/>
        <v>-14498.57134965275</v>
      </c>
      <c r="Q63" s="180">
        <f t="shared" si="17"/>
        <v>-0.75457938721350026</v>
      </c>
      <c r="S63" s="179">
        <f t="shared" si="18"/>
        <v>-48</v>
      </c>
      <c r="T63" s="180">
        <f t="shared" si="19"/>
        <v>-0.75471698113207542</v>
      </c>
    </row>
    <row r="64" spans="1:20">
      <c r="A64" s="308" t="s">
        <v>164</v>
      </c>
      <c r="B64" s="309">
        <f t="shared" si="20"/>
        <v>4715.5386503472</v>
      </c>
      <c r="C64" s="315">
        <v>15.6</v>
      </c>
      <c r="D64" s="196">
        <v>31</v>
      </c>
      <c r="E64" s="197">
        <v>9.7509070520000005</v>
      </c>
      <c r="M64" s="186">
        <v>20978.099999999933</v>
      </c>
      <c r="N64" s="187">
        <v>63.6</v>
      </c>
      <c r="P64" s="179">
        <f t="shared" si="16"/>
        <v>-15829.616916359933</v>
      </c>
      <c r="Q64" s="180">
        <f t="shared" si="17"/>
        <v>-0.75457819899609513</v>
      </c>
      <c r="S64" s="179">
        <f t="shared" si="18"/>
        <v>-48</v>
      </c>
      <c r="T64" s="180">
        <f t="shared" si="19"/>
        <v>-0.75471698113207542</v>
      </c>
    </row>
    <row r="65" spans="1:20">
      <c r="A65" s="308" t="s">
        <v>165</v>
      </c>
      <c r="B65" s="309">
        <f t="shared" si="20"/>
        <v>5148.4830836399997</v>
      </c>
      <c r="C65" s="315">
        <v>15.6</v>
      </c>
      <c r="D65" s="196">
        <v>30</v>
      </c>
      <c r="E65" s="197">
        <v>11.00103223</v>
      </c>
      <c r="M65" s="186">
        <v>24633.219999999896</v>
      </c>
      <c r="N65" s="187">
        <v>63.6</v>
      </c>
      <c r="P65" s="179">
        <f t="shared" si="16"/>
        <v>-18587.652601791895</v>
      </c>
      <c r="Q65" s="180">
        <f t="shared" si="17"/>
        <v>-0.75457664900455457</v>
      </c>
      <c r="S65" s="179">
        <f t="shared" si="18"/>
        <v>-48</v>
      </c>
      <c r="T65" s="180">
        <f t="shared" si="19"/>
        <v>-0.75471698113207542</v>
      </c>
    </row>
    <row r="66" spans="1:20">
      <c r="A66" s="308" t="s">
        <v>166</v>
      </c>
      <c r="B66" s="309">
        <f t="shared" si="20"/>
        <v>6045.5673982079998</v>
      </c>
      <c r="C66" s="315">
        <v>15.6</v>
      </c>
      <c r="D66" s="196">
        <v>31</v>
      </c>
      <c r="E66" s="197">
        <v>12.50117328</v>
      </c>
      <c r="M66" s="186">
        <v>26700.240000000002</v>
      </c>
      <c r="N66" s="187">
        <v>63.6</v>
      </c>
      <c r="P66" s="179">
        <f t="shared" si="16"/>
        <v>-20147.629306800001</v>
      </c>
      <c r="Q66" s="180">
        <f t="shared" si="17"/>
        <v>-0.7545860751364033</v>
      </c>
      <c r="S66" s="179">
        <f t="shared" si="18"/>
        <v>-48</v>
      </c>
      <c r="T66" s="180">
        <f t="shared" si="19"/>
        <v>-0.75471698113207542</v>
      </c>
    </row>
    <row r="67" spans="1:20">
      <c r="A67" s="308" t="s">
        <v>167</v>
      </c>
      <c r="B67" s="309">
        <f t="shared" si="20"/>
        <v>6552.6106931999993</v>
      </c>
      <c r="C67" s="315">
        <v>15.6</v>
      </c>
      <c r="D67" s="196">
        <v>30</v>
      </c>
      <c r="E67" s="197">
        <v>14.001304899999999</v>
      </c>
      <c r="M67" s="186">
        <v>29560.98</v>
      </c>
      <c r="N67" s="187">
        <v>63.6</v>
      </c>
      <c r="P67" s="181">
        <f t="shared" si="16"/>
        <v>-22306.300948224001</v>
      </c>
      <c r="Q67" s="182">
        <f t="shared" si="17"/>
        <v>-0.7545859761152709</v>
      </c>
      <c r="S67" s="179">
        <f t="shared" si="18"/>
        <v>-48</v>
      </c>
      <c r="T67" s="180">
        <f t="shared" si="19"/>
        <v>-0.75471698113207542</v>
      </c>
    </row>
    <row r="68" spans="1:20">
      <c r="A68" s="308" t="s">
        <v>168</v>
      </c>
      <c r="B68" s="309">
        <f t="shared" si="20"/>
        <v>7254.6790517759991</v>
      </c>
      <c r="C68" s="315">
        <v>15.6</v>
      </c>
      <c r="D68" s="196">
        <v>31</v>
      </c>
      <c r="E68" s="197">
        <v>15.00140416</v>
      </c>
      <c r="M68" s="177">
        <f>SUM(M56:M67)</f>
        <v>277182.9999999993</v>
      </c>
      <c r="N68" s="177">
        <f>SUM(N56:N67)</f>
        <v>763.20000000000016</v>
      </c>
      <c r="P68" s="179">
        <f t="shared" si="16"/>
        <v>-209156.73279012693</v>
      </c>
      <c r="Q68" s="180">
        <f t="shared" si="17"/>
        <v>-0.75457994462188327</v>
      </c>
      <c r="S68" s="194">
        <f t="shared" si="18"/>
        <v>-576.00000000000023</v>
      </c>
      <c r="T68" s="195">
        <f t="shared" si="19"/>
        <v>-0.75471698113207564</v>
      </c>
    </row>
    <row r="69" spans="1:20">
      <c r="A69" s="311" t="s">
        <v>32</v>
      </c>
      <c r="B69" s="312">
        <f>SUM(B57:B68)</f>
        <v>68026.267209872385</v>
      </c>
      <c r="C69" s="313">
        <f>SUM(C57:C68)</f>
        <v>187.19999999999996</v>
      </c>
      <c r="D69" s="314"/>
      <c r="E69" s="277"/>
      <c r="F69" s="238"/>
    </row>
    <row r="70" spans="1:20">
      <c r="B70" s="368" t="s">
        <v>172</v>
      </c>
      <c r="C70" s="368"/>
      <c r="D70" s="368"/>
      <c r="E70" s="368"/>
      <c r="F70" s="238"/>
      <c r="G70" s="369" t="s">
        <v>171</v>
      </c>
      <c r="H70" s="369"/>
      <c r="I70" s="369"/>
      <c r="J70" s="369"/>
    </row>
    <row r="71" spans="1:20" ht="37" customHeight="1">
      <c r="A71" s="238"/>
      <c r="B71" s="318" t="s">
        <v>60</v>
      </c>
      <c r="C71" s="318" t="s">
        <v>156</v>
      </c>
      <c r="D71" s="318" t="s">
        <v>157</v>
      </c>
      <c r="E71" s="318" t="s">
        <v>154</v>
      </c>
      <c r="F71" s="238"/>
      <c r="G71" s="318" t="s">
        <v>60</v>
      </c>
      <c r="H71" s="318" t="s">
        <v>156</v>
      </c>
      <c r="I71" s="318" t="s">
        <v>157</v>
      </c>
      <c r="J71" s="318" t="s">
        <v>154</v>
      </c>
    </row>
    <row r="72" spans="1:20" ht="26">
      <c r="A72" s="331"/>
      <c r="B72" s="332" t="s">
        <v>152</v>
      </c>
      <c r="C72" s="332" t="s">
        <v>135</v>
      </c>
      <c r="D72" s="332" t="s">
        <v>136</v>
      </c>
      <c r="E72" s="332" t="s">
        <v>210</v>
      </c>
      <c r="F72" s="331"/>
      <c r="G72" s="332" t="s">
        <v>152</v>
      </c>
      <c r="H72" s="332" t="s">
        <v>135</v>
      </c>
      <c r="I72" s="332" t="s">
        <v>136</v>
      </c>
      <c r="J72" s="332" t="s">
        <v>210</v>
      </c>
    </row>
    <row r="73" spans="1:20">
      <c r="A73" s="319" t="s">
        <v>158</v>
      </c>
      <c r="B73" s="320">
        <f>C57</f>
        <v>15.6</v>
      </c>
      <c r="C73" s="321">
        <f t="shared" ref="C73:D73" si="21">D57</f>
        <v>31</v>
      </c>
      <c r="D73" s="320">
        <f t="shared" si="21"/>
        <v>15.25143008</v>
      </c>
      <c r="E73" s="322">
        <f t="shared" ref="E73:E84" si="22">B73*C73*D73</f>
        <v>7375.5915866879996</v>
      </c>
      <c r="F73" s="238"/>
      <c r="G73" s="321">
        <f>C40</f>
        <v>34.229999999999997</v>
      </c>
      <c r="H73" s="321">
        <f t="shared" ref="H73:I73" si="23">D40</f>
        <v>31</v>
      </c>
      <c r="I73" s="320">
        <f t="shared" si="23"/>
        <v>15.25143008</v>
      </c>
      <c r="J73" s="322">
        <f t="shared" ref="J73:J84" si="24">G73*H73*I73</f>
        <v>16183.750000790398</v>
      </c>
    </row>
    <row r="74" spans="1:20">
      <c r="A74" s="319" t="s">
        <v>159</v>
      </c>
      <c r="B74" s="320">
        <f t="shared" ref="B74:D74" si="25">C58</f>
        <v>15.6</v>
      </c>
      <c r="C74" s="321">
        <f t="shared" si="25"/>
        <v>28</v>
      </c>
      <c r="D74" s="320">
        <f t="shared" si="25"/>
        <v>14.50135493</v>
      </c>
      <c r="E74" s="322">
        <f t="shared" si="22"/>
        <v>6334.1918334239999</v>
      </c>
      <c r="F74" s="238"/>
      <c r="G74" s="321">
        <f t="shared" ref="G74:G84" si="26">C41</f>
        <v>34.229999999999997</v>
      </c>
      <c r="H74" s="321">
        <f t="shared" ref="H74:H84" si="27">D41</f>
        <v>28</v>
      </c>
      <c r="I74" s="320">
        <f t="shared" ref="I74:I84" si="28">E41</f>
        <v>14.50135493</v>
      </c>
      <c r="J74" s="322">
        <f t="shared" si="24"/>
        <v>13898.6786191092</v>
      </c>
    </row>
    <row r="75" spans="1:20">
      <c r="A75" s="319" t="s">
        <v>160</v>
      </c>
      <c r="B75" s="320">
        <f t="shared" ref="B75:D75" si="29">C59</f>
        <v>15.6</v>
      </c>
      <c r="C75" s="321">
        <f t="shared" si="29"/>
        <v>31</v>
      </c>
      <c r="D75" s="320">
        <f t="shared" si="29"/>
        <v>13.00121569</v>
      </c>
      <c r="E75" s="322">
        <f t="shared" si="22"/>
        <v>6287.3879076839994</v>
      </c>
      <c r="F75" s="238"/>
      <c r="G75" s="321">
        <f t="shared" si="26"/>
        <v>34.229999999999997</v>
      </c>
      <c r="H75" s="321">
        <f t="shared" si="27"/>
        <v>31</v>
      </c>
      <c r="I75" s="320">
        <f t="shared" si="28"/>
        <v>13.00121569</v>
      </c>
      <c r="J75" s="322">
        <f t="shared" si="24"/>
        <v>13795.980005129699</v>
      </c>
    </row>
    <row r="76" spans="1:20">
      <c r="A76" s="319" t="s">
        <v>161</v>
      </c>
      <c r="B76" s="320">
        <f t="shared" ref="B76:D76" si="30">C60</f>
        <v>15.6</v>
      </c>
      <c r="C76" s="321">
        <f t="shared" si="30"/>
        <v>30</v>
      </c>
      <c r="D76" s="320">
        <f t="shared" si="30"/>
        <v>11.25105658</v>
      </c>
      <c r="E76" s="322">
        <f t="shared" si="22"/>
        <v>5265.4944794399999</v>
      </c>
      <c r="F76" s="238"/>
      <c r="G76" s="321">
        <f t="shared" si="26"/>
        <v>34.229999999999997</v>
      </c>
      <c r="H76" s="321">
        <f t="shared" si="27"/>
        <v>30</v>
      </c>
      <c r="I76" s="320">
        <f t="shared" si="28"/>
        <v>11.25105658</v>
      </c>
      <c r="J76" s="322">
        <f t="shared" si="24"/>
        <v>11553.710002001999</v>
      </c>
    </row>
    <row r="77" spans="1:20">
      <c r="A77" s="319" t="s">
        <v>6</v>
      </c>
      <c r="B77" s="320">
        <f t="shared" ref="B77:D77" si="31">C61</f>
        <v>15.6</v>
      </c>
      <c r="C77" s="321">
        <f t="shared" si="31"/>
        <v>31</v>
      </c>
      <c r="D77" s="320">
        <f t="shared" si="31"/>
        <v>10.000932969999999</v>
      </c>
      <c r="E77" s="322">
        <f t="shared" si="22"/>
        <v>4836.4511842919992</v>
      </c>
      <c r="F77" s="238"/>
      <c r="G77" s="321">
        <f t="shared" si="26"/>
        <v>34.229999999999997</v>
      </c>
      <c r="H77" s="321">
        <f t="shared" si="27"/>
        <v>31</v>
      </c>
      <c r="I77" s="320">
        <f t="shared" si="28"/>
        <v>10.000932969999999</v>
      </c>
      <c r="J77" s="322">
        <f t="shared" si="24"/>
        <v>10612.290002456099</v>
      </c>
    </row>
    <row r="78" spans="1:20">
      <c r="A78" s="319" t="s">
        <v>162</v>
      </c>
      <c r="B78" s="320">
        <f t="shared" ref="B78:D78" si="32">C62</f>
        <v>15.6</v>
      </c>
      <c r="C78" s="321">
        <f t="shared" si="32"/>
        <v>30</v>
      </c>
      <c r="D78" s="320">
        <f t="shared" si="32"/>
        <v>8.50079852</v>
      </c>
      <c r="E78" s="322">
        <f t="shared" si="22"/>
        <v>3978.37370736</v>
      </c>
      <c r="F78" s="238"/>
      <c r="G78" s="321">
        <f t="shared" si="26"/>
        <v>34.229999999999997</v>
      </c>
      <c r="H78" s="321">
        <f t="shared" si="27"/>
        <v>30</v>
      </c>
      <c r="I78" s="320">
        <f t="shared" si="28"/>
        <v>8.50079852</v>
      </c>
      <c r="J78" s="322">
        <f t="shared" si="24"/>
        <v>8729.4700001879992</v>
      </c>
    </row>
    <row r="79" spans="1:20">
      <c r="A79" s="319" t="s">
        <v>163</v>
      </c>
      <c r="B79" s="320">
        <f t="shared" ref="B79:D79" si="33">C63</f>
        <v>15.6</v>
      </c>
      <c r="C79" s="321">
        <f t="shared" si="33"/>
        <v>31</v>
      </c>
      <c r="D79" s="320">
        <f t="shared" si="33"/>
        <v>8.7508222369999995</v>
      </c>
      <c r="E79" s="322">
        <f t="shared" si="22"/>
        <v>4231.8976338131997</v>
      </c>
      <c r="F79" s="238"/>
      <c r="G79" s="321">
        <f t="shared" si="26"/>
        <v>34.229999999999997</v>
      </c>
      <c r="H79" s="321">
        <f t="shared" si="27"/>
        <v>31</v>
      </c>
      <c r="I79" s="320">
        <f t="shared" si="28"/>
        <v>8.7508222369999995</v>
      </c>
      <c r="J79" s="322">
        <f t="shared" si="24"/>
        <v>9285.7600003478092</v>
      </c>
    </row>
    <row r="80" spans="1:20">
      <c r="A80" s="319" t="s">
        <v>164</v>
      </c>
      <c r="B80" s="320">
        <f t="shared" ref="B80:D80" si="34">C64</f>
        <v>15.6</v>
      </c>
      <c r="C80" s="321">
        <f t="shared" si="34"/>
        <v>31</v>
      </c>
      <c r="D80" s="320">
        <f t="shared" si="34"/>
        <v>9.7509070520000005</v>
      </c>
      <c r="E80" s="322">
        <f t="shared" si="22"/>
        <v>4715.5386503472</v>
      </c>
      <c r="F80" s="238"/>
      <c r="G80" s="321">
        <f t="shared" si="26"/>
        <v>34.229999999999997</v>
      </c>
      <c r="H80" s="321">
        <f t="shared" si="27"/>
        <v>31</v>
      </c>
      <c r="I80" s="320">
        <f t="shared" si="28"/>
        <v>9.7509070520000005</v>
      </c>
      <c r="J80" s="322">
        <f t="shared" si="24"/>
        <v>10346.980000088759</v>
      </c>
    </row>
    <row r="81" spans="1:10">
      <c r="A81" s="319" t="s">
        <v>165</v>
      </c>
      <c r="B81" s="320">
        <f t="shared" ref="B81:D81" si="35">C65</f>
        <v>15.6</v>
      </c>
      <c r="C81" s="321">
        <f t="shared" si="35"/>
        <v>30</v>
      </c>
      <c r="D81" s="320">
        <f t="shared" si="35"/>
        <v>11.00103223</v>
      </c>
      <c r="E81" s="322">
        <f t="shared" si="22"/>
        <v>5148.4830836399997</v>
      </c>
      <c r="F81" s="238"/>
      <c r="G81" s="321">
        <f t="shared" si="26"/>
        <v>34.229999999999997</v>
      </c>
      <c r="H81" s="321">
        <f t="shared" si="27"/>
        <v>30</v>
      </c>
      <c r="I81" s="320">
        <f t="shared" si="28"/>
        <v>11.00103223</v>
      </c>
      <c r="J81" s="322">
        <f t="shared" si="24"/>
        <v>11296.959996986998</v>
      </c>
    </row>
    <row r="82" spans="1:10">
      <c r="A82" s="319" t="s">
        <v>166</v>
      </c>
      <c r="B82" s="320">
        <f t="shared" ref="B82:D82" si="36">C66</f>
        <v>15.6</v>
      </c>
      <c r="C82" s="321">
        <f t="shared" si="36"/>
        <v>31</v>
      </c>
      <c r="D82" s="320">
        <f t="shared" si="36"/>
        <v>12.50117328</v>
      </c>
      <c r="E82" s="322">
        <f t="shared" si="22"/>
        <v>6045.5673982079998</v>
      </c>
      <c r="F82" s="238"/>
      <c r="G82" s="321">
        <f t="shared" si="26"/>
        <v>34.229999999999997</v>
      </c>
      <c r="H82" s="321">
        <f t="shared" si="27"/>
        <v>31</v>
      </c>
      <c r="I82" s="320">
        <f t="shared" si="28"/>
        <v>12.50117328</v>
      </c>
      <c r="J82" s="322">
        <f t="shared" si="24"/>
        <v>13265.370002606398</v>
      </c>
    </row>
    <row r="83" spans="1:10">
      <c r="A83" s="319" t="s">
        <v>167</v>
      </c>
      <c r="B83" s="320">
        <f t="shared" ref="B83:D83" si="37">C67</f>
        <v>15.6</v>
      </c>
      <c r="C83" s="321">
        <f t="shared" si="37"/>
        <v>30</v>
      </c>
      <c r="D83" s="320">
        <f t="shared" si="37"/>
        <v>14.001304899999999</v>
      </c>
      <c r="E83" s="322">
        <f t="shared" si="22"/>
        <v>6552.6106931999993</v>
      </c>
      <c r="F83" s="238"/>
      <c r="G83" s="321">
        <f t="shared" si="26"/>
        <v>34.229999999999997</v>
      </c>
      <c r="H83" s="321">
        <f t="shared" si="27"/>
        <v>30</v>
      </c>
      <c r="I83" s="320">
        <f t="shared" si="28"/>
        <v>14.001304899999999</v>
      </c>
      <c r="J83" s="322">
        <f t="shared" si="24"/>
        <v>14377.940001809997</v>
      </c>
    </row>
    <row r="84" spans="1:10">
      <c r="A84" s="319" t="s">
        <v>168</v>
      </c>
      <c r="B84" s="320">
        <f t="shared" ref="B84:D84" si="38">C68</f>
        <v>15.6</v>
      </c>
      <c r="C84" s="328">
        <f t="shared" si="38"/>
        <v>31</v>
      </c>
      <c r="D84" s="329">
        <f t="shared" si="38"/>
        <v>15.00140416</v>
      </c>
      <c r="E84" s="330">
        <f t="shared" si="22"/>
        <v>7254.6790517759991</v>
      </c>
      <c r="F84" s="331"/>
      <c r="G84" s="328">
        <f t="shared" si="26"/>
        <v>34.229999999999997</v>
      </c>
      <c r="H84" s="328">
        <f t="shared" si="27"/>
        <v>31</v>
      </c>
      <c r="I84" s="329">
        <f t="shared" si="28"/>
        <v>15.00140416</v>
      </c>
      <c r="J84" s="330">
        <f t="shared" si="24"/>
        <v>15918.439996300798</v>
      </c>
    </row>
    <row r="85" spans="1:10">
      <c r="A85" s="323" t="s">
        <v>32</v>
      </c>
      <c r="B85" s="324">
        <f>SUM(B73:B84)</f>
        <v>187.19999999999996</v>
      </c>
      <c r="C85" s="325"/>
      <c r="D85" s="280"/>
      <c r="E85" s="326">
        <f>SUM(E73:E84)</f>
        <v>68026.267209872385</v>
      </c>
      <c r="F85" s="238"/>
      <c r="G85" s="327">
        <f>SUM(G73:G84)</f>
        <v>410.76000000000005</v>
      </c>
      <c r="H85" s="325"/>
      <c r="I85" s="280"/>
      <c r="J85" s="326">
        <f>SUM(J73:J84)</f>
        <v>149265.32862781617</v>
      </c>
    </row>
    <row r="86" spans="1:10" ht="16" thickBot="1">
      <c r="D86" s="276"/>
    </row>
    <row r="87" spans="1:10">
      <c r="A87" s="280"/>
      <c r="B87" s="370" t="s">
        <v>172</v>
      </c>
      <c r="C87" s="371"/>
      <c r="D87" s="370" t="s">
        <v>171</v>
      </c>
      <c r="E87" s="371"/>
      <c r="F87" s="370" t="s">
        <v>170</v>
      </c>
      <c r="G87" s="372"/>
      <c r="H87" s="373" t="s">
        <v>205</v>
      </c>
      <c r="I87" s="374"/>
      <c r="J87" s="238"/>
    </row>
    <row r="88" spans="1:10">
      <c r="A88" s="303" t="s">
        <v>206</v>
      </c>
      <c r="B88" s="365" t="s">
        <v>207</v>
      </c>
      <c r="C88" s="366"/>
      <c r="D88" s="365" t="s">
        <v>207</v>
      </c>
      <c r="E88" s="366"/>
      <c r="F88" s="365" t="s">
        <v>208</v>
      </c>
      <c r="G88" s="366"/>
      <c r="H88" s="301"/>
      <c r="I88" s="302"/>
      <c r="J88" s="238"/>
    </row>
    <row r="89" spans="1:10" ht="27.5">
      <c r="A89" s="280"/>
      <c r="B89" s="281" t="s">
        <v>211</v>
      </c>
      <c r="C89" s="282" t="s">
        <v>60</v>
      </c>
      <c r="D89" s="281" t="s">
        <v>211</v>
      </c>
      <c r="E89" s="282" t="s">
        <v>60</v>
      </c>
      <c r="F89" s="281" t="s">
        <v>211</v>
      </c>
      <c r="G89" s="283" t="s">
        <v>60</v>
      </c>
      <c r="H89" s="338" t="s">
        <v>211</v>
      </c>
      <c r="I89" s="333" t="s">
        <v>60</v>
      </c>
      <c r="J89" s="307" t="s">
        <v>209</v>
      </c>
    </row>
    <row r="90" spans="1:10">
      <c r="A90" s="284">
        <v>43466</v>
      </c>
      <c r="B90" s="285">
        <f>M56</f>
        <v>30052.639999999876</v>
      </c>
      <c r="C90" s="286">
        <f>N56</f>
        <v>63.6</v>
      </c>
      <c r="D90" s="285">
        <f>M40</f>
        <v>43507.259999999718</v>
      </c>
      <c r="E90" s="286">
        <f>N40</f>
        <v>92</v>
      </c>
      <c r="F90" s="285">
        <f>M23</f>
        <v>1361.5200000000118</v>
      </c>
      <c r="G90" s="285">
        <f>N23</f>
        <v>2.9</v>
      </c>
      <c r="H90" s="334">
        <f>B90+D90+F90</f>
        <v>74921.419999999605</v>
      </c>
      <c r="I90" s="335">
        <f>C90+E90+G90</f>
        <v>158.5</v>
      </c>
      <c r="J90" s="304" t="s">
        <v>76</v>
      </c>
    </row>
    <row r="91" spans="1:10">
      <c r="A91" s="284">
        <v>43497</v>
      </c>
      <c r="B91" s="285">
        <f t="shared" ref="B91:C91" si="39">M57</f>
        <v>25809.559999999929</v>
      </c>
      <c r="C91" s="286">
        <f t="shared" si="39"/>
        <v>63.6</v>
      </c>
      <c r="D91" s="285">
        <f t="shared" ref="D91:E91" si="40">M41</f>
        <v>37364.59999999978</v>
      </c>
      <c r="E91" s="286">
        <f t="shared" si="40"/>
        <v>92</v>
      </c>
      <c r="F91" s="285">
        <f t="shared" ref="F91:G91" si="41">M24</f>
        <v>1169.2800000000038</v>
      </c>
      <c r="G91" s="285">
        <f t="shared" si="41"/>
        <v>2.9</v>
      </c>
      <c r="H91" s="334">
        <f t="shared" ref="H91:H101" si="42">B91+D91+F91</f>
        <v>64343.439999999719</v>
      </c>
      <c r="I91" s="335">
        <f t="shared" ref="I91:I101" si="43">C91+E91+G91</f>
        <v>158.5</v>
      </c>
      <c r="J91" s="304" t="s">
        <v>76</v>
      </c>
    </row>
    <row r="92" spans="1:10">
      <c r="A92" s="284">
        <v>43525</v>
      </c>
      <c r="B92" s="285">
        <f t="shared" ref="B92:C92" si="44">M58</f>
        <v>25618.709999999908</v>
      </c>
      <c r="C92" s="286">
        <f t="shared" si="44"/>
        <v>63.6</v>
      </c>
      <c r="D92" s="285">
        <f t="shared" ref="D92:E92" si="45">M42</f>
        <v>37088.089999999793</v>
      </c>
      <c r="E92" s="286">
        <f t="shared" si="45"/>
        <v>92</v>
      </c>
      <c r="F92" s="285">
        <f t="shared" ref="F92:G92" si="46">M25</f>
        <v>1160.6400000000037</v>
      </c>
      <c r="G92" s="285">
        <f t="shared" si="46"/>
        <v>2.9</v>
      </c>
      <c r="H92" s="334">
        <f t="shared" si="42"/>
        <v>63867.439999999704</v>
      </c>
      <c r="I92" s="335">
        <f t="shared" si="43"/>
        <v>158.5</v>
      </c>
      <c r="J92" s="304" t="s">
        <v>76</v>
      </c>
    </row>
    <row r="93" spans="1:10">
      <c r="A93" s="284">
        <v>43556</v>
      </c>
      <c r="B93" s="285">
        <f t="shared" ref="B93:C93" si="47">M59</f>
        <v>21454.799999999919</v>
      </c>
      <c r="C93" s="286">
        <f t="shared" si="47"/>
        <v>63.6</v>
      </c>
      <c r="D93" s="285">
        <f t="shared" ref="D93:E93" si="48">M43</f>
        <v>31060.199999999848</v>
      </c>
      <c r="E93" s="286">
        <f t="shared" si="48"/>
        <v>92</v>
      </c>
      <c r="F93" s="285">
        <f t="shared" ref="F93:G93" si="49">M26</f>
        <v>971.9999999999992</v>
      </c>
      <c r="G93" s="285">
        <f t="shared" si="49"/>
        <v>2.9</v>
      </c>
      <c r="H93" s="334">
        <f t="shared" si="42"/>
        <v>53486.999999999767</v>
      </c>
      <c r="I93" s="335">
        <f t="shared" si="43"/>
        <v>158.5</v>
      </c>
      <c r="J93" s="304" t="s">
        <v>76</v>
      </c>
    </row>
    <row r="94" spans="1:10">
      <c r="A94" s="284">
        <v>43586</v>
      </c>
      <c r="B94" s="285">
        <f t="shared" ref="B94:C94" si="50">M60</f>
        <v>19706.699999999939</v>
      </c>
      <c r="C94" s="286">
        <f t="shared" si="50"/>
        <v>63.6</v>
      </c>
      <c r="D94" s="285">
        <f t="shared" ref="D94:E94" si="51">M44</f>
        <v>28529.609999999881</v>
      </c>
      <c r="E94" s="286">
        <f t="shared" si="51"/>
        <v>92</v>
      </c>
      <c r="F94" s="285">
        <f t="shared" ref="F94:G94" si="52">M27</f>
        <v>892.79999999999927</v>
      </c>
      <c r="G94" s="285">
        <f t="shared" si="52"/>
        <v>2.9</v>
      </c>
      <c r="H94" s="334">
        <f t="shared" si="42"/>
        <v>49129.109999999826</v>
      </c>
      <c r="I94" s="335">
        <f t="shared" si="43"/>
        <v>158.5</v>
      </c>
      <c r="J94" s="304" t="s">
        <v>76</v>
      </c>
    </row>
    <row r="95" spans="1:10">
      <c r="A95" s="284">
        <v>43617</v>
      </c>
      <c r="B95" s="285">
        <f t="shared" ref="B95:C95" si="53">M61</f>
        <v>16210.499999999971</v>
      </c>
      <c r="C95" s="286">
        <f t="shared" si="53"/>
        <v>63.6</v>
      </c>
      <c r="D95" s="285">
        <f t="shared" ref="D95:E95" si="54">M45</f>
        <v>23468.099999999959</v>
      </c>
      <c r="E95" s="286">
        <f t="shared" si="54"/>
        <v>92</v>
      </c>
      <c r="F95" s="285">
        <f t="shared" ref="F95:G95" si="55">M28</f>
        <v>734.39999999999907</v>
      </c>
      <c r="G95" s="285">
        <f t="shared" si="55"/>
        <v>2.9</v>
      </c>
      <c r="H95" s="334">
        <f t="shared" si="42"/>
        <v>40412.999999999935</v>
      </c>
      <c r="I95" s="335">
        <f t="shared" si="43"/>
        <v>158.5</v>
      </c>
      <c r="J95" s="304" t="s">
        <v>76</v>
      </c>
    </row>
    <row r="96" spans="1:10">
      <c r="A96" s="284">
        <v>43647</v>
      </c>
      <c r="B96" s="285">
        <f t="shared" ref="B96:C96" si="56">M62</f>
        <v>17243.439999999959</v>
      </c>
      <c r="C96" s="286">
        <f t="shared" si="56"/>
        <v>63.6</v>
      </c>
      <c r="D96" s="285">
        <f t="shared" ref="D96:E96" si="57">M46</f>
        <v>24963.369999999941</v>
      </c>
      <c r="E96" s="286">
        <f t="shared" si="57"/>
        <v>92</v>
      </c>
      <c r="F96" s="285">
        <f t="shared" ref="F96:G96" si="58">M29</f>
        <v>781.19999999999891</v>
      </c>
      <c r="G96" s="285">
        <f t="shared" si="58"/>
        <v>2.9</v>
      </c>
      <c r="H96" s="334">
        <f t="shared" si="42"/>
        <v>42988.009999999893</v>
      </c>
      <c r="I96" s="335">
        <f t="shared" si="43"/>
        <v>158.5</v>
      </c>
      <c r="J96" s="304" t="s">
        <v>76</v>
      </c>
    </row>
    <row r="97" spans="1:10">
      <c r="A97" s="284">
        <v>43678</v>
      </c>
      <c r="B97" s="285">
        <f t="shared" ref="B97:C97" si="59">M63</f>
        <v>19214.10999999995</v>
      </c>
      <c r="C97" s="286">
        <f t="shared" si="59"/>
        <v>63.6</v>
      </c>
      <c r="D97" s="285">
        <f t="shared" ref="D97:E97" si="60">M47</f>
        <v>27816.299999999908</v>
      </c>
      <c r="E97" s="286">
        <f t="shared" si="60"/>
        <v>92</v>
      </c>
      <c r="F97" s="285">
        <f t="shared" ref="F97:G97" si="61">M30</f>
        <v>870.48000000000013</v>
      </c>
      <c r="G97" s="285">
        <f t="shared" si="61"/>
        <v>2.9</v>
      </c>
      <c r="H97" s="334">
        <f t="shared" si="42"/>
        <v>47900.889999999861</v>
      </c>
      <c r="I97" s="335">
        <f t="shared" si="43"/>
        <v>158.5</v>
      </c>
      <c r="J97" s="304" t="s">
        <v>76</v>
      </c>
    </row>
    <row r="98" spans="1:10">
      <c r="A98" s="284">
        <v>43709</v>
      </c>
      <c r="B98" s="285">
        <f t="shared" ref="B98:C98" si="62">M64</f>
        <v>20978.099999999933</v>
      </c>
      <c r="C98" s="286">
        <f t="shared" si="62"/>
        <v>63.6</v>
      </c>
      <c r="D98" s="285">
        <f t="shared" ref="D98:E98" si="63">M48</f>
        <v>30370.199999999855</v>
      </c>
      <c r="E98" s="286">
        <f t="shared" si="63"/>
        <v>92</v>
      </c>
      <c r="F98" s="285">
        <f t="shared" ref="F98:G98" si="64">M31</f>
        <v>950.39999999999918</v>
      </c>
      <c r="G98" s="285">
        <f t="shared" si="64"/>
        <v>2.9</v>
      </c>
      <c r="H98" s="334">
        <f t="shared" si="42"/>
        <v>52298.699999999786</v>
      </c>
      <c r="I98" s="335">
        <f t="shared" si="43"/>
        <v>158.5</v>
      </c>
      <c r="J98" s="304" t="s">
        <v>76</v>
      </c>
    </row>
    <row r="99" spans="1:10">
      <c r="A99" s="284">
        <v>43739</v>
      </c>
      <c r="B99" s="285">
        <f t="shared" ref="B99:C99" si="65">M65</f>
        <v>24633.219999999896</v>
      </c>
      <c r="C99" s="286">
        <f t="shared" si="65"/>
        <v>63.6</v>
      </c>
      <c r="D99" s="285">
        <f t="shared" ref="D99:E99" si="66">M49</f>
        <v>35661.779999999788</v>
      </c>
      <c r="E99" s="286">
        <f t="shared" si="66"/>
        <v>92</v>
      </c>
      <c r="F99" s="285">
        <f t="shared" ref="F99:G99" si="67">M32</f>
        <v>1116.0000000000032</v>
      </c>
      <c r="G99" s="285">
        <f t="shared" si="67"/>
        <v>2.9</v>
      </c>
      <c r="H99" s="334">
        <f t="shared" si="42"/>
        <v>61410.99999999968</v>
      </c>
      <c r="I99" s="335">
        <f t="shared" si="43"/>
        <v>158.5</v>
      </c>
      <c r="J99" s="304" t="s">
        <v>76</v>
      </c>
    </row>
    <row r="100" spans="1:10">
      <c r="A100" s="284">
        <v>43770</v>
      </c>
      <c r="B100" s="285">
        <f t="shared" ref="B100:C100" si="68">M66</f>
        <v>26700.240000000002</v>
      </c>
      <c r="C100" s="286">
        <f t="shared" si="68"/>
        <v>63.6</v>
      </c>
      <c r="D100" s="285">
        <f t="shared" ref="D100:E100" si="69">M50</f>
        <v>38652.599999999773</v>
      </c>
      <c r="E100" s="286">
        <f t="shared" si="69"/>
        <v>92</v>
      </c>
      <c r="F100" s="285">
        <f t="shared" ref="F100:G100" si="70">M33</f>
        <v>1209.6000000000056</v>
      </c>
      <c r="G100" s="285">
        <f t="shared" si="70"/>
        <v>2.9</v>
      </c>
      <c r="H100" s="334">
        <f t="shared" si="42"/>
        <v>66562.439999999784</v>
      </c>
      <c r="I100" s="335">
        <f t="shared" si="43"/>
        <v>158.5</v>
      </c>
      <c r="J100" s="304" t="s">
        <v>76</v>
      </c>
    </row>
    <row r="101" spans="1:10">
      <c r="A101" s="287">
        <v>43800</v>
      </c>
      <c r="B101" s="288">
        <f t="shared" ref="B101:C101" si="71">M67</f>
        <v>29560.98</v>
      </c>
      <c r="C101" s="289">
        <f t="shared" si="71"/>
        <v>63.6</v>
      </c>
      <c r="D101" s="288">
        <f t="shared" ref="D101:E101" si="72">M51</f>
        <v>42794.259999999711</v>
      </c>
      <c r="E101" s="289">
        <f t="shared" si="72"/>
        <v>92</v>
      </c>
      <c r="F101" s="288">
        <f t="shared" ref="F101:G101" si="73">M34</f>
        <v>1339.2000000000119</v>
      </c>
      <c r="G101" s="288">
        <f t="shared" si="73"/>
        <v>2.9</v>
      </c>
      <c r="H101" s="336">
        <f t="shared" si="42"/>
        <v>73694.439999999726</v>
      </c>
      <c r="I101" s="337">
        <f t="shared" si="43"/>
        <v>158.5</v>
      </c>
      <c r="J101" s="304" t="s">
        <v>76</v>
      </c>
    </row>
    <row r="102" spans="1:10" ht="16" thickBot="1">
      <c r="A102" s="290" t="s">
        <v>32</v>
      </c>
      <c r="B102" s="291">
        <f>SUM(B90:B101)</f>
        <v>277182.9999999993</v>
      </c>
      <c r="C102" s="292">
        <f>SUM(C90:C101)</f>
        <v>763.20000000000016</v>
      </c>
      <c r="D102" s="291">
        <f t="shared" ref="D102:I102" si="74">SUM(D90:D101)</f>
        <v>401276.36999999796</v>
      </c>
      <c r="E102" s="292">
        <f t="shared" si="74"/>
        <v>1104</v>
      </c>
      <c r="F102" s="291">
        <f t="shared" si="74"/>
        <v>12557.520000000037</v>
      </c>
      <c r="G102" s="293">
        <f t="shared" si="74"/>
        <v>34.79999999999999</v>
      </c>
      <c r="H102" s="294">
        <f t="shared" si="74"/>
        <v>691016.88999999734</v>
      </c>
      <c r="I102" s="295">
        <f t="shared" si="74"/>
        <v>1902</v>
      </c>
    </row>
    <row r="103" spans="1:10" ht="16" thickBot="1"/>
    <row r="104" spans="1:10">
      <c r="A104" s="280"/>
      <c r="B104" s="370" t="s">
        <v>172</v>
      </c>
      <c r="C104" s="371"/>
      <c r="D104" s="370" t="s">
        <v>171</v>
      </c>
      <c r="E104" s="371"/>
      <c r="F104" s="370" t="s">
        <v>170</v>
      </c>
      <c r="G104" s="372"/>
      <c r="H104" s="373" t="s">
        <v>205</v>
      </c>
      <c r="I104" s="374"/>
      <c r="J104" s="238"/>
    </row>
    <row r="105" spans="1:10">
      <c r="A105" s="303" t="s">
        <v>206</v>
      </c>
      <c r="B105" s="365" t="s">
        <v>208</v>
      </c>
      <c r="C105" s="366"/>
      <c r="D105" s="365" t="s">
        <v>208</v>
      </c>
      <c r="E105" s="366"/>
      <c r="F105" s="365" t="s">
        <v>208</v>
      </c>
      <c r="G105" s="366"/>
      <c r="H105" s="301"/>
      <c r="I105" s="302"/>
      <c r="J105" s="238"/>
    </row>
    <row r="106" spans="1:10" ht="27.5">
      <c r="A106" s="280"/>
      <c r="B106" s="281" t="s">
        <v>211</v>
      </c>
      <c r="C106" s="282" t="s">
        <v>60</v>
      </c>
      <c r="D106" s="281" t="s">
        <v>211</v>
      </c>
      <c r="E106" s="282" t="s">
        <v>60</v>
      </c>
      <c r="F106" s="281" t="s">
        <v>211</v>
      </c>
      <c r="G106" s="283" t="s">
        <v>60</v>
      </c>
      <c r="H106" s="338" t="s">
        <v>211</v>
      </c>
      <c r="I106" s="333" t="s">
        <v>60</v>
      </c>
      <c r="J106" s="307" t="s">
        <v>209</v>
      </c>
    </row>
    <row r="107" spans="1:10">
      <c r="A107" s="300">
        <v>43831</v>
      </c>
      <c r="B107" s="285">
        <f t="shared" ref="B107:C118" si="75">B57</f>
        <v>7375.5915866879996</v>
      </c>
      <c r="C107" s="286">
        <f t="shared" si="75"/>
        <v>15.6</v>
      </c>
      <c r="D107" s="285">
        <f t="shared" ref="D107:D118" si="76">B40</f>
        <v>16183.750000790398</v>
      </c>
      <c r="E107" s="286">
        <f t="shared" ref="E107:E118" si="77">C40</f>
        <v>34.229999999999997</v>
      </c>
      <c r="F107" s="285">
        <f>B23</f>
        <v>1359.75650021248</v>
      </c>
      <c r="G107" s="285">
        <f>C23</f>
        <v>2.8759999999999999</v>
      </c>
      <c r="H107" s="339">
        <f>B107+D107+F107</f>
        <v>24919.098087690876</v>
      </c>
      <c r="I107" s="335">
        <f>C107+E107+G107</f>
        <v>52.705999999999996</v>
      </c>
      <c r="J107" s="304" t="s">
        <v>76</v>
      </c>
    </row>
    <row r="108" spans="1:10">
      <c r="A108" s="300">
        <v>43862</v>
      </c>
      <c r="B108" s="285">
        <f t="shared" si="75"/>
        <v>6334.1918334239999</v>
      </c>
      <c r="C108" s="286">
        <f t="shared" si="75"/>
        <v>15.6</v>
      </c>
      <c r="D108" s="285">
        <f t="shared" si="76"/>
        <v>13898.6786191092</v>
      </c>
      <c r="E108" s="286">
        <f t="shared" si="77"/>
        <v>34.229999999999997</v>
      </c>
      <c r="F108" s="285">
        <f t="shared" ref="F108:G108" si="78">B24</f>
        <v>1167.7651098030399</v>
      </c>
      <c r="G108" s="285">
        <f t="shared" si="78"/>
        <v>2.8759999999999999</v>
      </c>
      <c r="H108" s="339">
        <f t="shared" ref="H108:H118" si="79">B108+D108+F108</f>
        <v>21400.63556233624</v>
      </c>
      <c r="I108" s="335">
        <f t="shared" ref="I108:I118" si="80">C108+E108+G108</f>
        <v>52.705999999999996</v>
      </c>
      <c r="J108" s="304" t="s">
        <v>76</v>
      </c>
    </row>
    <row r="109" spans="1:10">
      <c r="A109" s="305">
        <v>43891</v>
      </c>
      <c r="B109" s="288">
        <f t="shared" si="75"/>
        <v>6287.3879076839994</v>
      </c>
      <c r="C109" s="289">
        <f t="shared" si="75"/>
        <v>15.6</v>
      </c>
      <c r="D109" s="288">
        <f t="shared" si="76"/>
        <v>13795.980005129699</v>
      </c>
      <c r="E109" s="289">
        <f t="shared" si="77"/>
        <v>34.229999999999997</v>
      </c>
      <c r="F109" s="288">
        <f t="shared" ref="F109:G109" si="81">B25</f>
        <v>1159.13638605764</v>
      </c>
      <c r="G109" s="288">
        <f t="shared" si="81"/>
        <v>2.8759999999999999</v>
      </c>
      <c r="H109" s="340">
        <f t="shared" si="79"/>
        <v>21242.504298871336</v>
      </c>
      <c r="I109" s="337">
        <f t="shared" si="80"/>
        <v>52.705999999999996</v>
      </c>
      <c r="J109" s="306" t="s">
        <v>76</v>
      </c>
    </row>
    <row r="110" spans="1:10">
      <c r="A110" s="300">
        <v>43922</v>
      </c>
      <c r="B110" s="285">
        <f t="shared" si="75"/>
        <v>5265.4944794399999</v>
      </c>
      <c r="C110" s="286">
        <f t="shared" si="75"/>
        <v>15.6</v>
      </c>
      <c r="D110" s="285">
        <f t="shared" si="76"/>
        <v>11553.710002001999</v>
      </c>
      <c r="E110" s="286">
        <f t="shared" si="77"/>
        <v>34.229999999999997</v>
      </c>
      <c r="F110" s="285">
        <f t="shared" ref="F110:G110" si="82">B26</f>
        <v>970.74116172240008</v>
      </c>
      <c r="G110" s="285">
        <f t="shared" si="82"/>
        <v>2.8759999999999999</v>
      </c>
      <c r="H110" s="339">
        <f t="shared" si="79"/>
        <v>17789.945643164399</v>
      </c>
      <c r="I110" s="335">
        <f t="shared" si="80"/>
        <v>52.705999999999996</v>
      </c>
      <c r="J110" s="304" t="s">
        <v>50</v>
      </c>
    </row>
    <row r="111" spans="1:10">
      <c r="A111" s="300">
        <v>43952</v>
      </c>
      <c r="B111" s="285">
        <f t="shared" si="75"/>
        <v>4836.4511842919992</v>
      </c>
      <c r="C111" s="286">
        <f t="shared" si="75"/>
        <v>15.6</v>
      </c>
      <c r="D111" s="285">
        <f t="shared" si="76"/>
        <v>10612.290002456099</v>
      </c>
      <c r="E111" s="286">
        <f t="shared" si="77"/>
        <v>34.229999999999997</v>
      </c>
      <c r="F111" s="285">
        <f t="shared" ref="F111:G111" si="83">B27</f>
        <v>891.64317987331981</v>
      </c>
      <c r="G111" s="285">
        <f t="shared" si="83"/>
        <v>2.8759999999999999</v>
      </c>
      <c r="H111" s="339">
        <f t="shared" si="79"/>
        <v>16340.384366621418</v>
      </c>
      <c r="I111" s="335">
        <f t="shared" si="80"/>
        <v>52.705999999999996</v>
      </c>
      <c r="J111" s="304" t="s">
        <v>50</v>
      </c>
    </row>
    <row r="112" spans="1:10">
      <c r="A112" s="300">
        <v>43983</v>
      </c>
      <c r="B112" s="285">
        <f t="shared" si="75"/>
        <v>3978.37370736</v>
      </c>
      <c r="C112" s="286">
        <f t="shared" si="75"/>
        <v>15.6</v>
      </c>
      <c r="D112" s="285">
        <f t="shared" si="76"/>
        <v>8729.4700001879992</v>
      </c>
      <c r="E112" s="286">
        <f t="shared" si="77"/>
        <v>34.229999999999997</v>
      </c>
      <c r="F112" s="285">
        <f t="shared" ref="F112:G112" si="84">B28</f>
        <v>733.44889630559999</v>
      </c>
      <c r="G112" s="285">
        <f t="shared" si="84"/>
        <v>2.8759999999999999</v>
      </c>
      <c r="H112" s="339">
        <f t="shared" si="79"/>
        <v>13441.292603853599</v>
      </c>
      <c r="I112" s="335">
        <f t="shared" si="80"/>
        <v>52.705999999999996</v>
      </c>
      <c r="J112" s="304" t="s">
        <v>50</v>
      </c>
    </row>
    <row r="113" spans="1:10">
      <c r="A113" s="300">
        <v>44013</v>
      </c>
      <c r="B113" s="285">
        <f t="shared" si="75"/>
        <v>4231.8976338131997</v>
      </c>
      <c r="C113" s="286">
        <f t="shared" si="75"/>
        <v>15.6</v>
      </c>
      <c r="D113" s="285">
        <f t="shared" si="76"/>
        <v>9285.7600003478092</v>
      </c>
      <c r="E113" s="286">
        <f t="shared" si="77"/>
        <v>34.229999999999997</v>
      </c>
      <c r="F113" s="285">
        <f t="shared" ref="F113:G113" si="85">B29</f>
        <v>780.18830736197185</v>
      </c>
      <c r="G113" s="285">
        <f t="shared" si="85"/>
        <v>2.8759999999999999</v>
      </c>
      <c r="H113" s="339">
        <f t="shared" si="79"/>
        <v>14297.845941522981</v>
      </c>
      <c r="I113" s="335">
        <f t="shared" si="80"/>
        <v>52.705999999999996</v>
      </c>
      <c r="J113" s="304" t="s">
        <v>50</v>
      </c>
    </row>
    <row r="114" spans="1:10">
      <c r="A114" s="300">
        <v>44044</v>
      </c>
      <c r="B114" s="285">
        <f t="shared" si="75"/>
        <v>4715.5386503472</v>
      </c>
      <c r="C114" s="286">
        <f t="shared" si="75"/>
        <v>15.6</v>
      </c>
      <c r="D114" s="285">
        <f t="shared" si="76"/>
        <v>10346.980000088759</v>
      </c>
      <c r="E114" s="286">
        <f t="shared" si="77"/>
        <v>34.229999999999997</v>
      </c>
      <c r="F114" s="285">
        <f t="shared" ref="F114:G114" si="86">B30</f>
        <v>869.35186912811196</v>
      </c>
      <c r="G114" s="285">
        <f t="shared" si="86"/>
        <v>2.8759999999999999</v>
      </c>
      <c r="H114" s="339">
        <f t="shared" si="79"/>
        <v>15931.87051956407</v>
      </c>
      <c r="I114" s="335">
        <f t="shared" si="80"/>
        <v>52.705999999999996</v>
      </c>
      <c r="J114" s="304" t="s">
        <v>50</v>
      </c>
    </row>
    <row r="115" spans="1:10">
      <c r="A115" s="300">
        <v>44075</v>
      </c>
      <c r="B115" s="285">
        <f t="shared" si="75"/>
        <v>5148.4830836399997</v>
      </c>
      <c r="C115" s="286">
        <f t="shared" si="75"/>
        <v>15.6</v>
      </c>
      <c r="D115" s="285">
        <f t="shared" si="76"/>
        <v>11296.959996986998</v>
      </c>
      <c r="E115" s="286">
        <f t="shared" si="77"/>
        <v>34.229999999999997</v>
      </c>
      <c r="F115" s="285">
        <f t="shared" ref="F115:G115" si="87">B31</f>
        <v>949.16906080440003</v>
      </c>
      <c r="G115" s="285">
        <f t="shared" si="87"/>
        <v>2.8759999999999999</v>
      </c>
      <c r="H115" s="339">
        <f t="shared" si="79"/>
        <v>17394.612141431397</v>
      </c>
      <c r="I115" s="335">
        <f t="shared" si="80"/>
        <v>52.705999999999996</v>
      </c>
      <c r="J115" s="304" t="s">
        <v>50</v>
      </c>
    </row>
    <row r="116" spans="1:10">
      <c r="A116" s="300">
        <v>44105</v>
      </c>
      <c r="B116" s="285">
        <f t="shared" si="75"/>
        <v>6045.5673982079998</v>
      </c>
      <c r="C116" s="286">
        <f t="shared" si="75"/>
        <v>15.6</v>
      </c>
      <c r="D116" s="285">
        <f t="shared" si="76"/>
        <v>13265.370002606398</v>
      </c>
      <c r="E116" s="286">
        <f t="shared" si="77"/>
        <v>34.229999999999997</v>
      </c>
      <c r="F116" s="285">
        <f t="shared" ref="F116:G116" si="88">B32</f>
        <v>1114.5546049516799</v>
      </c>
      <c r="G116" s="285">
        <f t="shared" si="88"/>
        <v>2.8759999999999999</v>
      </c>
      <c r="H116" s="339">
        <f t="shared" si="79"/>
        <v>20425.492005766078</v>
      </c>
      <c r="I116" s="335">
        <f t="shared" si="80"/>
        <v>52.705999999999996</v>
      </c>
      <c r="J116" s="304" t="s">
        <v>50</v>
      </c>
    </row>
    <row r="117" spans="1:10">
      <c r="A117" s="300">
        <v>44136</v>
      </c>
      <c r="B117" s="285">
        <f t="shared" si="75"/>
        <v>6552.6106931999993</v>
      </c>
      <c r="C117" s="286">
        <f t="shared" si="75"/>
        <v>15.6</v>
      </c>
      <c r="D117" s="285">
        <f t="shared" si="76"/>
        <v>14377.940001809997</v>
      </c>
      <c r="E117" s="286">
        <f t="shared" si="77"/>
        <v>34.229999999999997</v>
      </c>
      <c r="F117" s="285">
        <f t="shared" ref="F117:G117" si="89">B33</f>
        <v>1208.0325867719998</v>
      </c>
      <c r="G117" s="285">
        <f t="shared" si="89"/>
        <v>2.8759999999999999</v>
      </c>
      <c r="H117" s="339">
        <f t="shared" si="79"/>
        <v>22138.583281781994</v>
      </c>
      <c r="I117" s="335">
        <f t="shared" si="80"/>
        <v>52.705999999999996</v>
      </c>
      <c r="J117" s="304" t="s">
        <v>50</v>
      </c>
    </row>
    <row r="118" spans="1:10">
      <c r="A118" s="300">
        <v>44166</v>
      </c>
      <c r="B118" s="285">
        <f t="shared" si="75"/>
        <v>7254.6790517759991</v>
      </c>
      <c r="C118" s="286">
        <f t="shared" si="75"/>
        <v>15.6</v>
      </c>
      <c r="D118" s="285">
        <f t="shared" si="76"/>
        <v>15918.439996300798</v>
      </c>
      <c r="E118" s="286">
        <f t="shared" si="77"/>
        <v>34.229999999999997</v>
      </c>
      <c r="F118" s="285">
        <f t="shared" ref="F118:G118" si="90">B34</f>
        <v>1337.4651892889599</v>
      </c>
      <c r="G118" s="285">
        <f t="shared" si="90"/>
        <v>2.8759999999999999</v>
      </c>
      <c r="H118" s="340">
        <f t="shared" si="79"/>
        <v>24510.584237365758</v>
      </c>
      <c r="I118" s="337">
        <f t="shared" si="80"/>
        <v>52.705999999999996</v>
      </c>
      <c r="J118" s="304" t="s">
        <v>50</v>
      </c>
    </row>
    <row r="119" spans="1:10" ht="16" thickBot="1">
      <c r="A119" s="296" t="s">
        <v>32</v>
      </c>
      <c r="B119" s="297">
        <f>SUM(B107:B118)</f>
        <v>68026.267209872385</v>
      </c>
      <c r="C119" s="298">
        <f>SUM(C107:C118)</f>
        <v>187.19999999999996</v>
      </c>
      <c r="D119" s="297">
        <f t="shared" ref="D119" si="91">SUM(D107:D118)</f>
        <v>149265.32862781617</v>
      </c>
      <c r="E119" s="298">
        <f t="shared" ref="E119" si="92">SUM(E107:E118)</f>
        <v>410.76000000000005</v>
      </c>
      <c r="F119" s="297">
        <f t="shared" ref="F119" si="93">SUM(F107:F118)</f>
        <v>12541.252852281603</v>
      </c>
      <c r="G119" s="299">
        <f t="shared" ref="G119" si="94">SUM(G107:G118)</f>
        <v>34.512000000000008</v>
      </c>
      <c r="H119" s="294">
        <f t="shared" ref="H119" si="95">SUM(H107:H118)</f>
        <v>229832.84868997015</v>
      </c>
      <c r="I119" s="295">
        <f t="shared" ref="I119" si="96">SUM(I107:I118)</f>
        <v>632.47200000000009</v>
      </c>
    </row>
  </sheetData>
  <mergeCells count="29">
    <mergeCell ref="B105:C105"/>
    <mergeCell ref="D105:E105"/>
    <mergeCell ref="F105:G105"/>
    <mergeCell ref="A38:E38"/>
    <mergeCell ref="B54:E54"/>
    <mergeCell ref="G70:J70"/>
    <mergeCell ref="B70:E70"/>
    <mergeCell ref="B87:C87"/>
    <mergeCell ref="D87:E87"/>
    <mergeCell ref="F87:G87"/>
    <mergeCell ref="H87:I87"/>
    <mergeCell ref="B104:C104"/>
    <mergeCell ref="D104:E104"/>
    <mergeCell ref="F104:G104"/>
    <mergeCell ref="H104:I104"/>
    <mergeCell ref="B88:C88"/>
    <mergeCell ref="S3:T3"/>
    <mergeCell ref="S21:T21"/>
    <mergeCell ref="S38:T38"/>
    <mergeCell ref="S54:T54"/>
    <mergeCell ref="P21:Q21"/>
    <mergeCell ref="P38:Q38"/>
    <mergeCell ref="P54:Q54"/>
    <mergeCell ref="P3:Q3"/>
    <mergeCell ref="A21:B21"/>
    <mergeCell ref="A2:C2"/>
    <mergeCell ref="M2:N2"/>
    <mergeCell ref="D88:E88"/>
    <mergeCell ref="F88:G88"/>
  </mergeCells>
  <hyperlinks>
    <hyperlink ref="G23" r:id="rId1" display="https://can01.safelinks.protection.outlook.com/?url=https%3A%2F%2Fwww.timeanddate.com%2Fsun%2Fcanada%2Ftoronto&amp;data=02%7C01%7Crbucknall%40wellingtonnorthpower.com%7C86d34d9cecf84cd33b0208d7ab235d6b%7C1c3b7af9af4a4afab67951076ddca6a8%7C0%7C0%7C637166040695427811&amp;sdata=3bWtQV3vM6Atzl%2BSE5wgdb2wLEzYYxBV8q%2F5dDDqktc%3D&amp;reserved=0"/>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59999389629810485"/>
    <pageSetUpPr fitToPage="1"/>
  </sheetPr>
  <dimension ref="A1:DZ164"/>
  <sheetViews>
    <sheetView tabSelected="1" zoomScaleNormal="100" workbookViewId="0">
      <pane ySplit="1" topLeftCell="A2" activePane="bottomLeft" state="frozen"/>
      <selection activeCell="R148" sqref="R148"/>
      <selection pane="bottomLeft"/>
    </sheetView>
  </sheetViews>
  <sheetFormatPr defaultColWidth="8.58203125" defaultRowHeight="15.5"/>
  <cols>
    <col min="1" max="1" width="4.33203125" style="2" bestFit="1" customWidth="1"/>
    <col min="2" max="2" width="11" style="2" bestFit="1" customWidth="1"/>
    <col min="3" max="3" width="12.08203125" style="2" bestFit="1" customWidth="1"/>
    <col min="4" max="4" width="9.33203125" style="2" bestFit="1" customWidth="1"/>
    <col min="5" max="5" width="13.5" style="2" customWidth="1"/>
    <col min="6" max="6" width="10.25" style="2" customWidth="1"/>
    <col min="7" max="7" width="6.58203125" style="2" bestFit="1" customWidth="1"/>
    <col min="8" max="8" width="6.33203125" style="2" bestFit="1" customWidth="1"/>
    <col min="9" max="9" width="13" style="2" bestFit="1" customWidth="1"/>
    <col min="10" max="10" width="11.58203125" style="2" customWidth="1"/>
    <col min="11" max="11" width="10.25" style="2" bestFit="1" customWidth="1"/>
    <col min="12" max="12" width="8.83203125" style="2" bestFit="1" customWidth="1"/>
    <col min="13" max="13" width="2.83203125" style="164" customWidth="1"/>
    <col min="14" max="14" width="3" style="2" customWidth="1"/>
    <col min="15" max="15" width="3.33203125" style="2" customWidth="1"/>
    <col min="16" max="16" width="3.08203125" style="2" customWidth="1"/>
    <col min="17" max="17" width="12.33203125" style="7" bestFit="1" customWidth="1"/>
    <col min="18" max="18" width="10.83203125" style="7" bestFit="1" customWidth="1"/>
    <col min="19" max="20" width="8.58203125" style="2"/>
    <col min="21" max="21" width="4.75" style="4" customWidth="1"/>
    <col min="22" max="22" width="19" style="4" bestFit="1" customWidth="1"/>
    <col min="23" max="23" width="16.75" style="4" bestFit="1" customWidth="1"/>
    <col min="24" max="24" width="14.83203125" style="4" bestFit="1" customWidth="1"/>
    <col min="25" max="25" width="16.33203125" style="4" bestFit="1" customWidth="1"/>
    <col min="26" max="26" width="16.58203125" style="4" customWidth="1"/>
    <col min="27" max="27" width="13.58203125" style="4" customWidth="1"/>
    <col min="28" max="31" width="12.33203125" style="4" bestFit="1" customWidth="1"/>
    <col min="32" max="16384" width="8.58203125" style="4"/>
  </cols>
  <sheetData>
    <row r="1" spans="1:130" ht="58">
      <c r="A1" s="6" t="s">
        <v>0</v>
      </c>
      <c r="B1" s="6" t="s">
        <v>1</v>
      </c>
      <c r="C1" s="37" t="s">
        <v>85</v>
      </c>
      <c r="D1" s="162" t="s">
        <v>137</v>
      </c>
      <c r="E1" s="151" t="s">
        <v>150</v>
      </c>
      <c r="F1" s="377" t="s">
        <v>220</v>
      </c>
      <c r="G1" s="6" t="s">
        <v>15</v>
      </c>
      <c r="H1" s="6" t="s">
        <v>46</v>
      </c>
      <c r="I1" s="126" t="s">
        <v>16</v>
      </c>
      <c r="J1" s="126" t="s">
        <v>78</v>
      </c>
      <c r="K1" s="378" t="s">
        <v>108</v>
      </c>
      <c r="L1" s="126" t="s">
        <v>153</v>
      </c>
      <c r="M1" s="159"/>
      <c r="N1" s="129"/>
      <c r="O1" s="127"/>
      <c r="Q1" s="381" t="s">
        <v>18</v>
      </c>
      <c r="R1" s="10" t="s">
        <v>19</v>
      </c>
      <c r="S1" s="6" t="s">
        <v>20</v>
      </c>
      <c r="T1" s="6" t="s">
        <v>21</v>
      </c>
      <c r="V1" s="132" t="s">
        <v>22</v>
      </c>
      <c r="W1"/>
      <c r="X1"/>
      <c r="Y1"/>
      <c r="Z1"/>
      <c r="AA1"/>
      <c r="AB1"/>
      <c r="AC1"/>
      <c r="AD1"/>
    </row>
    <row r="2" spans="1:130" ht="16" thickBot="1">
      <c r="A2" s="134">
        <v>2010</v>
      </c>
      <c r="B2" s="134" t="s">
        <v>2</v>
      </c>
      <c r="C2" s="7">
        <v>9555492.307692308</v>
      </c>
      <c r="D2" s="7">
        <v>0</v>
      </c>
      <c r="E2" s="7">
        <v>9555492.307692308</v>
      </c>
      <c r="F2" s="376">
        <f>E2+K2</f>
        <v>9687848.2124281861</v>
      </c>
      <c r="G2" s="15">
        <v>791.5</v>
      </c>
      <c r="H2" s="15">
        <v>0</v>
      </c>
      <c r="I2" s="2">
        <v>31</v>
      </c>
      <c r="J2" s="7">
        <v>633.6</v>
      </c>
      <c r="K2" s="379">
        <v>132355.9047358782</v>
      </c>
      <c r="L2" s="7">
        <v>3487295.6334580001</v>
      </c>
      <c r="M2" s="7"/>
      <c r="N2" s="135"/>
      <c r="O2" s="7"/>
      <c r="P2" s="163"/>
      <c r="Q2" s="376">
        <f>$W$17+$W$18*G2+$W$19*H2+$W$20*I2+$W$21*J2+$W$22+L2</f>
        <v>9772126.673272213</v>
      </c>
      <c r="R2" s="7">
        <f>Q2-E2</f>
        <v>216634.36557990499</v>
      </c>
      <c r="S2" s="139">
        <f>R2/E2</f>
        <v>2.2671188318105936E-2</v>
      </c>
      <c r="T2" s="139">
        <f>ABS(S2)</f>
        <v>2.2671188318105936E-2</v>
      </c>
      <c r="U2" s="136"/>
      <c r="V2"/>
      <c r="W2"/>
      <c r="X2"/>
      <c r="Y2"/>
      <c r="Z2"/>
      <c r="AA2"/>
      <c r="AB2"/>
      <c r="AC2"/>
      <c r="AD2"/>
      <c r="BH2" s="136"/>
      <c r="BI2" s="136"/>
      <c r="BJ2" s="136"/>
      <c r="BK2" s="136"/>
      <c r="BL2" s="136"/>
      <c r="BM2" s="136"/>
      <c r="BN2" s="136"/>
      <c r="BO2" s="136"/>
      <c r="BP2" s="136"/>
      <c r="BQ2" s="136"/>
      <c r="BR2" s="136"/>
      <c r="BS2" s="136"/>
      <c r="BT2" s="136"/>
      <c r="BU2" s="136"/>
      <c r="BV2" s="136"/>
      <c r="BW2" s="136"/>
      <c r="BX2" s="136"/>
      <c r="BY2" s="136"/>
      <c r="BZ2" s="136"/>
      <c r="CA2" s="136"/>
      <c r="CB2" s="136"/>
      <c r="CC2" s="136"/>
      <c r="CD2" s="136"/>
      <c r="CE2" s="136"/>
      <c r="CF2" s="136"/>
      <c r="CG2" s="136"/>
      <c r="CH2" s="136"/>
      <c r="CI2" s="136"/>
      <c r="CJ2" s="136"/>
      <c r="CK2" s="136"/>
      <c r="CL2" s="136"/>
      <c r="CM2" s="136"/>
      <c r="CN2" s="136"/>
      <c r="CO2" s="136"/>
      <c r="CP2" s="136"/>
      <c r="CQ2" s="136"/>
      <c r="CR2" s="136"/>
      <c r="CS2" s="136"/>
      <c r="CT2" s="136"/>
      <c r="CU2" s="136"/>
      <c r="CV2" s="136"/>
      <c r="CW2" s="136"/>
      <c r="CX2" s="136"/>
      <c r="CY2" s="136"/>
      <c r="CZ2" s="136"/>
      <c r="DA2" s="136"/>
      <c r="DB2" s="136"/>
      <c r="DC2" s="136"/>
      <c r="DD2" s="136"/>
      <c r="DE2" s="136"/>
      <c r="DF2" s="136"/>
      <c r="DG2" s="136"/>
      <c r="DH2" s="136"/>
      <c r="DI2" s="136"/>
      <c r="DJ2" s="136"/>
      <c r="DK2" s="136"/>
      <c r="DL2" s="136"/>
      <c r="DM2" s="136"/>
      <c r="DN2" s="136"/>
      <c r="DO2" s="136"/>
      <c r="DP2" s="136"/>
      <c r="DQ2" s="136"/>
      <c r="DR2" s="136"/>
      <c r="DS2" s="136"/>
      <c r="DT2" s="136"/>
      <c r="DU2" s="136"/>
      <c r="DV2" s="136"/>
      <c r="DW2" s="136"/>
      <c r="DX2" s="136"/>
      <c r="DY2" s="136"/>
      <c r="DZ2" s="136"/>
    </row>
    <row r="3" spans="1:130">
      <c r="A3" s="2">
        <v>2010</v>
      </c>
      <c r="B3" s="2" t="s">
        <v>3</v>
      </c>
      <c r="C3" s="7">
        <v>8513184.615384616</v>
      </c>
      <c r="D3" s="7">
        <v>0</v>
      </c>
      <c r="E3" s="7">
        <v>8513184.615384616</v>
      </c>
      <c r="F3" s="376">
        <f t="shared" ref="F3:F66" si="0">E3+K3</f>
        <v>8644273.0416846927</v>
      </c>
      <c r="G3" s="15">
        <v>680.1</v>
      </c>
      <c r="H3" s="15">
        <v>0</v>
      </c>
      <c r="I3" s="2">
        <v>28</v>
      </c>
      <c r="J3" s="7">
        <v>630.5</v>
      </c>
      <c r="K3" s="379">
        <v>131088.42630007651</v>
      </c>
      <c r="L3" s="7">
        <v>3203840.5107670003</v>
      </c>
      <c r="M3" s="7"/>
      <c r="N3" s="135"/>
      <c r="O3" s="7"/>
      <c r="Q3" s="376">
        <f t="shared" ref="Q3:Q66" si="1">$W$17+$W$18*G3+$W$19*H3+$W$20*I3+$W$21*J3+$W$22+L3</f>
        <v>8818663.5196842551</v>
      </c>
      <c r="R3" s="7">
        <f t="shared" ref="R3:R66" si="2">Q3-E3</f>
        <v>305478.90429963917</v>
      </c>
      <c r="S3" s="139">
        <f t="shared" ref="S3:S66" si="3">R3/E3</f>
        <v>3.5883035327061094E-2</v>
      </c>
      <c r="T3" s="139">
        <f t="shared" ref="T3:T66" si="4">ABS(S3)</f>
        <v>3.5883035327061094E-2</v>
      </c>
      <c r="V3" s="250" t="s">
        <v>23</v>
      </c>
      <c r="W3" s="250"/>
      <c r="X3" s="251"/>
      <c r="Y3" s="251"/>
      <c r="Z3" s="251"/>
      <c r="AA3" s="251"/>
      <c r="AB3" s="251"/>
      <c r="AC3" s="251"/>
      <c r="AD3" s="251"/>
    </row>
    <row r="4" spans="1:130">
      <c r="A4" s="2">
        <v>2010</v>
      </c>
      <c r="B4" s="2" t="s">
        <v>4</v>
      </c>
      <c r="C4" s="7">
        <v>8793400</v>
      </c>
      <c r="D4" s="7">
        <v>0</v>
      </c>
      <c r="E4" s="7">
        <v>8793400</v>
      </c>
      <c r="F4" s="376">
        <f t="shared" si="0"/>
        <v>8923220.9478642754</v>
      </c>
      <c r="G4" s="15">
        <v>504.69999999999987</v>
      </c>
      <c r="H4" s="15">
        <v>0</v>
      </c>
      <c r="I4" s="2">
        <v>31</v>
      </c>
      <c r="J4" s="7">
        <v>627.5</v>
      </c>
      <c r="K4" s="379">
        <v>129820.94786427479</v>
      </c>
      <c r="L4" s="7">
        <v>3646819.0608330001</v>
      </c>
      <c r="M4" s="7"/>
      <c r="N4" s="135"/>
      <c r="O4" s="7"/>
      <c r="Q4" s="376">
        <f t="shared" si="1"/>
        <v>9187819.5348178186</v>
      </c>
      <c r="R4" s="7">
        <f t="shared" si="2"/>
        <v>394419.53481781855</v>
      </c>
      <c r="S4" s="139">
        <f t="shared" si="3"/>
        <v>4.4854042215504646E-2</v>
      </c>
      <c r="T4" s="139">
        <f t="shared" si="4"/>
        <v>4.4854042215504646E-2</v>
      </c>
      <c r="V4" s="252" t="s">
        <v>24</v>
      </c>
      <c r="W4" s="383">
        <v>0.97493185491547529</v>
      </c>
      <c r="X4" s="251"/>
      <c r="Y4" s="251"/>
      <c r="Z4" s="251"/>
      <c r="AA4" s="251"/>
      <c r="AB4" s="251"/>
      <c r="AC4" s="251"/>
      <c r="AD4" s="251"/>
    </row>
    <row r="5" spans="1:130">
      <c r="A5" s="2">
        <v>2010</v>
      </c>
      <c r="B5" s="2" t="s">
        <v>5</v>
      </c>
      <c r="C5" s="7">
        <v>7779600</v>
      </c>
      <c r="D5" s="7">
        <v>0</v>
      </c>
      <c r="E5" s="7">
        <v>7779600</v>
      </c>
      <c r="F5" s="376">
        <f t="shared" si="0"/>
        <v>7908153.4694284732</v>
      </c>
      <c r="G5" s="15">
        <v>273.20000000000005</v>
      </c>
      <c r="H5" s="15">
        <v>1</v>
      </c>
      <c r="I5" s="2">
        <v>30</v>
      </c>
      <c r="J5" s="7">
        <v>631.6</v>
      </c>
      <c r="K5" s="379">
        <v>128553.46942847309</v>
      </c>
      <c r="L5" s="7">
        <v>3531302.5569770001</v>
      </c>
      <c r="M5" s="7"/>
      <c r="N5" s="135"/>
      <c r="O5" s="7"/>
      <c r="Q5" s="376">
        <f t="shared" si="1"/>
        <v>8360846.0524408696</v>
      </c>
      <c r="R5" s="7">
        <f t="shared" si="2"/>
        <v>581246.05244086962</v>
      </c>
      <c r="S5" s="139">
        <f t="shared" si="3"/>
        <v>7.4714130860310243E-2</v>
      </c>
      <c r="T5" s="139">
        <f t="shared" si="4"/>
        <v>7.4714130860310243E-2</v>
      </c>
      <c r="V5" s="252" t="s">
        <v>25</v>
      </c>
      <c r="W5" s="383">
        <v>0.95049212172892938</v>
      </c>
      <c r="X5" s="251"/>
      <c r="Y5" s="251"/>
      <c r="Z5" s="251"/>
      <c r="AA5" s="251"/>
      <c r="AB5" s="251"/>
      <c r="AC5" s="251"/>
      <c r="AD5" s="251"/>
    </row>
    <row r="6" spans="1:130">
      <c r="A6" s="2">
        <v>2010</v>
      </c>
      <c r="B6" s="2" t="s">
        <v>6</v>
      </c>
      <c r="C6" s="7">
        <v>8100938.461538461</v>
      </c>
      <c r="D6" s="7">
        <v>0</v>
      </c>
      <c r="E6" s="7">
        <v>8100938.461538461</v>
      </c>
      <c r="F6" s="376">
        <f t="shared" si="0"/>
        <v>8228224.4525311328</v>
      </c>
      <c r="G6" s="15">
        <v>148.19999999999996</v>
      </c>
      <c r="H6" s="15">
        <v>24</v>
      </c>
      <c r="I6" s="2">
        <v>31</v>
      </c>
      <c r="J6" s="7">
        <v>641.5</v>
      </c>
      <c r="K6" s="379">
        <v>127285.99099267139</v>
      </c>
      <c r="L6" s="7">
        <v>3786484.3631810001</v>
      </c>
      <c r="M6" s="7"/>
      <c r="N6" s="135"/>
      <c r="O6" s="7"/>
      <c r="Q6" s="376">
        <f t="shared" si="1"/>
        <v>8660928.7046538722</v>
      </c>
      <c r="R6" s="7">
        <f t="shared" si="2"/>
        <v>559990.24311541114</v>
      </c>
      <c r="S6" s="139">
        <f t="shared" si="3"/>
        <v>6.9126588946962886E-2</v>
      </c>
      <c r="T6" s="139">
        <f t="shared" si="4"/>
        <v>6.9126588946962886E-2</v>
      </c>
      <c r="V6" s="252" t="s">
        <v>26</v>
      </c>
      <c r="W6" s="383">
        <v>0.94832072355914554</v>
      </c>
      <c r="X6" s="251"/>
      <c r="Y6" s="251"/>
      <c r="Z6" s="251"/>
      <c r="AA6" s="251"/>
      <c r="AB6" s="251"/>
      <c r="AC6" s="251"/>
      <c r="AD6" s="251"/>
    </row>
    <row r="7" spans="1:130">
      <c r="A7" s="2">
        <v>2010</v>
      </c>
      <c r="B7" s="2" t="s">
        <v>7</v>
      </c>
      <c r="C7" s="7">
        <v>7984484.615384616</v>
      </c>
      <c r="D7" s="7">
        <v>0</v>
      </c>
      <c r="E7" s="7">
        <v>7984484.615384616</v>
      </c>
      <c r="F7" s="376">
        <f t="shared" si="0"/>
        <v>8110503.1279414855</v>
      </c>
      <c r="G7" s="15">
        <v>55.233333333333327</v>
      </c>
      <c r="H7" s="15">
        <v>18.7</v>
      </c>
      <c r="I7" s="2">
        <v>30</v>
      </c>
      <c r="J7" s="7">
        <v>657.2</v>
      </c>
      <c r="K7" s="379">
        <v>126018.51255686968</v>
      </c>
      <c r="L7" s="7">
        <v>3861171.0436650002</v>
      </c>
      <c r="M7" s="7"/>
      <c r="N7" s="135"/>
      <c r="O7" s="7"/>
      <c r="Q7" s="376">
        <f t="shared" si="1"/>
        <v>8324659.2244642796</v>
      </c>
      <c r="R7" s="7">
        <f t="shared" si="2"/>
        <v>340174.60907966364</v>
      </c>
      <c r="S7" s="139">
        <f t="shared" si="3"/>
        <v>4.2604454196606564E-2</v>
      </c>
      <c r="T7" s="139">
        <f t="shared" si="4"/>
        <v>4.2604454196606564E-2</v>
      </c>
      <c r="V7" s="252" t="s">
        <v>27</v>
      </c>
      <c r="W7" s="382">
        <v>134934.04091766936</v>
      </c>
      <c r="X7" s="251"/>
      <c r="Y7" s="251"/>
      <c r="Z7" s="251"/>
      <c r="AA7" s="251"/>
      <c r="AB7" s="251"/>
      <c r="AC7" s="251"/>
      <c r="AD7" s="251"/>
    </row>
    <row r="8" spans="1:130" ht="16" thickBot="1">
      <c r="A8" s="2">
        <v>2010</v>
      </c>
      <c r="B8" s="2" t="s">
        <v>8</v>
      </c>
      <c r="C8" s="7">
        <v>8350992.3076923089</v>
      </c>
      <c r="D8" s="7">
        <v>0</v>
      </c>
      <c r="E8" s="7">
        <v>8350992.3076923089</v>
      </c>
      <c r="F8" s="376">
        <f t="shared" si="0"/>
        <v>8475743.3418133762</v>
      </c>
      <c r="G8" s="15">
        <v>12.7</v>
      </c>
      <c r="H8" s="15">
        <v>89.7</v>
      </c>
      <c r="I8" s="2">
        <v>31</v>
      </c>
      <c r="J8" s="7">
        <v>669.8</v>
      </c>
      <c r="K8" s="379">
        <v>124751.03412106798</v>
      </c>
      <c r="L8" s="7">
        <v>3721817.7134580002</v>
      </c>
      <c r="M8" s="7"/>
      <c r="N8" s="135"/>
      <c r="O8" s="7"/>
      <c r="Q8" s="376">
        <f t="shared" si="1"/>
        <v>8933806.2221106812</v>
      </c>
      <c r="R8" s="7">
        <f t="shared" si="2"/>
        <v>582813.91441837233</v>
      </c>
      <c r="S8" s="139">
        <f t="shared" si="3"/>
        <v>6.9789779818325043E-2</v>
      </c>
      <c r="T8" s="139">
        <f t="shared" si="4"/>
        <v>6.9789779818325043E-2</v>
      </c>
      <c r="V8" s="253" t="s">
        <v>28</v>
      </c>
      <c r="W8" s="384">
        <v>120</v>
      </c>
      <c r="X8" s="251"/>
      <c r="Y8" s="251"/>
      <c r="Z8" s="251"/>
      <c r="AA8" s="251"/>
      <c r="AB8" s="251"/>
      <c r="AC8" s="251"/>
      <c r="AD8" s="251"/>
    </row>
    <row r="9" spans="1:130">
      <c r="A9" s="2">
        <v>2010</v>
      </c>
      <c r="B9" s="2" t="s">
        <v>9</v>
      </c>
      <c r="C9" s="7">
        <v>8692192.307692308</v>
      </c>
      <c r="D9" s="7">
        <v>0</v>
      </c>
      <c r="E9" s="7">
        <v>8692192.307692308</v>
      </c>
      <c r="F9" s="376">
        <f t="shared" si="0"/>
        <v>8815675.8633775748</v>
      </c>
      <c r="G9" s="15">
        <v>19.299999999999997</v>
      </c>
      <c r="H9" s="15">
        <v>82.000000000000014</v>
      </c>
      <c r="I9" s="2">
        <v>31</v>
      </c>
      <c r="J9" s="7">
        <v>672</v>
      </c>
      <c r="K9" s="379">
        <v>123483.55568526627</v>
      </c>
      <c r="L9" s="7">
        <v>4170740.4139440004</v>
      </c>
      <c r="M9" s="7"/>
      <c r="N9" s="135"/>
      <c r="O9" s="7"/>
      <c r="Q9" s="376">
        <f t="shared" si="1"/>
        <v>9322668.7785021756</v>
      </c>
      <c r="R9" s="7">
        <f t="shared" si="2"/>
        <v>630476.47080986761</v>
      </c>
      <c r="S9" s="139">
        <f t="shared" si="3"/>
        <v>7.2533654168225936E-2</v>
      </c>
      <c r="T9" s="139">
        <f t="shared" si="4"/>
        <v>7.2533654168225936E-2</v>
      </c>
      <c r="V9" s="251"/>
      <c r="W9" s="251"/>
      <c r="X9" s="251"/>
      <c r="Y9" s="251"/>
      <c r="Z9" s="251"/>
      <c r="AA9" s="251"/>
      <c r="AB9" s="251"/>
      <c r="AC9" s="251"/>
      <c r="AD9" s="251"/>
    </row>
    <row r="10" spans="1:130" ht="16" thickBot="1">
      <c r="A10" s="2">
        <v>2010</v>
      </c>
      <c r="B10" s="2" t="s">
        <v>10</v>
      </c>
      <c r="C10" s="7">
        <v>8099892.3076923089</v>
      </c>
      <c r="D10" s="7">
        <v>0</v>
      </c>
      <c r="E10" s="7">
        <v>8099892.3076923089</v>
      </c>
      <c r="F10" s="376">
        <f t="shared" si="0"/>
        <v>8222108.3849417735</v>
      </c>
      <c r="G10" s="15">
        <v>137</v>
      </c>
      <c r="H10" s="15">
        <v>15.5</v>
      </c>
      <c r="I10" s="2">
        <v>30</v>
      </c>
      <c r="J10" s="7">
        <v>665.1</v>
      </c>
      <c r="K10" s="379">
        <v>122216.07724946456</v>
      </c>
      <c r="L10" s="7">
        <v>3919808.5180150005</v>
      </c>
      <c r="M10" s="7"/>
      <c r="N10" s="135"/>
      <c r="O10" s="7"/>
      <c r="Q10" s="376">
        <f t="shared" si="1"/>
        <v>8566602.6847816184</v>
      </c>
      <c r="R10" s="7">
        <f t="shared" si="2"/>
        <v>466710.37708930951</v>
      </c>
      <c r="S10" s="139">
        <f t="shared" si="3"/>
        <v>5.7619331141734294E-2</v>
      </c>
      <c r="T10" s="139">
        <f t="shared" si="4"/>
        <v>5.7619331141734294E-2</v>
      </c>
      <c r="V10" s="251" t="s">
        <v>29</v>
      </c>
      <c r="W10" s="251"/>
      <c r="X10" s="251"/>
      <c r="Y10" s="251"/>
      <c r="Z10" s="251"/>
      <c r="AA10" s="251"/>
      <c r="AB10" s="251"/>
      <c r="AC10" s="251"/>
      <c r="AD10" s="251"/>
    </row>
    <row r="11" spans="1:130">
      <c r="A11" s="2">
        <v>2010</v>
      </c>
      <c r="B11" s="2" t="s">
        <v>11</v>
      </c>
      <c r="C11" s="7">
        <v>8501569.2307692319</v>
      </c>
      <c r="D11" s="7">
        <v>0</v>
      </c>
      <c r="E11" s="7">
        <v>8501569.2307692319</v>
      </c>
      <c r="F11" s="376">
        <f t="shared" si="0"/>
        <v>8622517.8295828942</v>
      </c>
      <c r="G11" s="15">
        <v>300.99999999999994</v>
      </c>
      <c r="H11" s="15">
        <v>0</v>
      </c>
      <c r="I11" s="2">
        <v>31</v>
      </c>
      <c r="J11" s="7">
        <v>657.2</v>
      </c>
      <c r="K11" s="379">
        <v>120948.59881366287</v>
      </c>
      <c r="L11" s="7">
        <v>3943157.2559859999</v>
      </c>
      <c r="M11" s="7"/>
      <c r="N11" s="135"/>
      <c r="O11" s="7"/>
      <c r="P11" s="163"/>
      <c r="Q11" s="376">
        <f t="shared" si="1"/>
        <v>8977109.6796138808</v>
      </c>
      <c r="R11" s="7">
        <f t="shared" si="2"/>
        <v>475540.4488446489</v>
      </c>
      <c r="S11" s="139">
        <f t="shared" si="3"/>
        <v>5.5935608584301494E-2</v>
      </c>
      <c r="T11" s="139">
        <f t="shared" si="4"/>
        <v>5.5935608584301494E-2</v>
      </c>
      <c r="U11" s="136"/>
      <c r="V11" s="254"/>
      <c r="W11" s="254" t="s">
        <v>34</v>
      </c>
      <c r="X11" s="254" t="s">
        <v>35</v>
      </c>
      <c r="Y11" s="254" t="s">
        <v>36</v>
      </c>
      <c r="Z11" s="254" t="s">
        <v>37</v>
      </c>
      <c r="AA11" s="254" t="s">
        <v>38</v>
      </c>
      <c r="AB11" s="251"/>
      <c r="AC11" s="251"/>
      <c r="AD11" s="251"/>
    </row>
    <row r="12" spans="1:130">
      <c r="A12" s="2">
        <v>2010</v>
      </c>
      <c r="B12" s="2" t="s">
        <v>12</v>
      </c>
      <c r="C12" s="7">
        <v>8832892.307692308</v>
      </c>
      <c r="D12" s="7">
        <v>0</v>
      </c>
      <c r="E12" s="7">
        <v>8832892.307692308</v>
      </c>
      <c r="F12" s="376">
        <f t="shared" si="0"/>
        <v>8952573.4280701689</v>
      </c>
      <c r="G12" s="15">
        <v>439.26666666666659</v>
      </c>
      <c r="H12" s="15">
        <v>0</v>
      </c>
      <c r="I12" s="2">
        <v>30</v>
      </c>
      <c r="J12" s="7">
        <v>622.20000000000005</v>
      </c>
      <c r="K12" s="379">
        <v>119681.12037786117</v>
      </c>
      <c r="L12" s="7">
        <v>3894738.300245</v>
      </c>
      <c r="M12" s="7"/>
      <c r="N12" s="135"/>
      <c r="O12" s="7"/>
      <c r="P12" s="163"/>
      <c r="Q12" s="376">
        <f t="shared" si="1"/>
        <v>9136716.0751002822</v>
      </c>
      <c r="R12" s="7">
        <f t="shared" si="2"/>
        <v>303823.76740797423</v>
      </c>
      <c r="S12" s="139">
        <f t="shared" si="3"/>
        <v>3.4396860827045628E-2</v>
      </c>
      <c r="T12" s="139">
        <f t="shared" si="4"/>
        <v>3.4396860827045628E-2</v>
      </c>
      <c r="U12" s="136"/>
      <c r="V12" s="252" t="s">
        <v>30</v>
      </c>
      <c r="W12" s="252">
        <v>5</v>
      </c>
      <c r="X12" s="261">
        <v>39849429795398.195</v>
      </c>
      <c r="Y12" s="261">
        <v>7969885959079.6387</v>
      </c>
      <c r="Z12" s="261">
        <v>437.73276359700009</v>
      </c>
      <c r="AA12" s="261">
        <v>1.2252967682955477E-72</v>
      </c>
      <c r="AB12" s="251"/>
      <c r="AC12" s="251"/>
      <c r="AD12" s="251"/>
    </row>
    <row r="13" spans="1:130">
      <c r="A13" s="2">
        <v>2010</v>
      </c>
      <c r="B13" s="2" t="s">
        <v>13</v>
      </c>
      <c r="C13" s="7">
        <v>9403583.4523076937</v>
      </c>
      <c r="D13" s="7">
        <v>24.24</v>
      </c>
      <c r="E13" s="7">
        <v>9403607.6923076939</v>
      </c>
      <c r="F13" s="376">
        <f t="shared" si="0"/>
        <v>9522021.3342497535</v>
      </c>
      <c r="G13" s="15">
        <v>744.29999999999984</v>
      </c>
      <c r="H13" s="15">
        <v>0</v>
      </c>
      <c r="I13" s="2">
        <v>31</v>
      </c>
      <c r="J13" s="7">
        <v>653.29999999999995</v>
      </c>
      <c r="K13" s="379">
        <v>118413.64194205946</v>
      </c>
      <c r="L13" s="7">
        <v>3453655.6664740001</v>
      </c>
      <c r="M13" s="7"/>
      <c r="N13" s="135"/>
      <c r="O13" s="7"/>
      <c r="P13" s="163"/>
      <c r="Q13" s="376">
        <f t="shared" si="1"/>
        <v>9629003.7501019593</v>
      </c>
      <c r="R13" s="7">
        <f t="shared" si="2"/>
        <v>225396.05779426545</v>
      </c>
      <c r="S13" s="139">
        <f t="shared" si="3"/>
        <v>2.396910474887666E-2</v>
      </c>
      <c r="T13" s="139">
        <f t="shared" si="4"/>
        <v>2.396910474887666E-2</v>
      </c>
      <c r="U13" s="136"/>
      <c r="V13" s="252" t="s">
        <v>31</v>
      </c>
      <c r="W13" s="252">
        <v>114</v>
      </c>
      <c r="X13" s="261">
        <v>2075620275414.3247</v>
      </c>
      <c r="Y13" s="261">
        <v>18207195398.371269</v>
      </c>
      <c r="Z13" s="261"/>
      <c r="AA13" s="261"/>
      <c r="AB13" s="251"/>
      <c r="AC13" s="251"/>
      <c r="AD13" s="251"/>
    </row>
    <row r="14" spans="1:130" ht="16" thickBot="1">
      <c r="A14" s="134">
        <v>2011</v>
      </c>
      <c r="B14" s="134" t="s">
        <v>2</v>
      </c>
      <c r="C14" s="7">
        <v>9903427.0876923073</v>
      </c>
      <c r="D14" s="7">
        <v>65.22</v>
      </c>
      <c r="E14" s="7">
        <v>9903492.307692308</v>
      </c>
      <c r="F14" s="376">
        <f t="shared" si="0"/>
        <v>10024314.15915578</v>
      </c>
      <c r="G14" s="15">
        <v>866.5</v>
      </c>
      <c r="H14" s="15">
        <v>0</v>
      </c>
      <c r="I14" s="2">
        <v>31</v>
      </c>
      <c r="J14" s="7">
        <v>649.29999999999995</v>
      </c>
      <c r="K14" s="379">
        <v>120821.85146347174</v>
      </c>
      <c r="L14" s="7">
        <v>3844682.6114840005</v>
      </c>
      <c r="M14" s="7"/>
      <c r="N14" s="135"/>
      <c r="O14" s="7"/>
      <c r="P14" s="163"/>
      <c r="Q14" s="376">
        <f t="shared" si="1"/>
        <v>10332840.569351986</v>
      </c>
      <c r="R14" s="7">
        <f t="shared" si="2"/>
        <v>429348.26165967807</v>
      </c>
      <c r="S14" s="139">
        <f t="shared" si="3"/>
        <v>4.3353218068962578E-2</v>
      </c>
      <c r="T14" s="139">
        <f t="shared" si="4"/>
        <v>4.3353218068962578E-2</v>
      </c>
      <c r="U14" s="136"/>
      <c r="V14" s="253" t="s">
        <v>32</v>
      </c>
      <c r="W14" s="253">
        <v>119</v>
      </c>
      <c r="X14" s="262">
        <v>41925050070812.523</v>
      </c>
      <c r="Y14" s="262"/>
      <c r="Z14" s="262"/>
      <c r="AA14" s="262"/>
      <c r="AB14" s="251"/>
      <c r="AC14" s="251"/>
      <c r="AD14" s="251"/>
    </row>
    <row r="15" spans="1:130" ht="16" thickBot="1">
      <c r="A15" s="2">
        <v>2011</v>
      </c>
      <c r="B15" s="2" t="s">
        <v>3</v>
      </c>
      <c r="C15" s="7">
        <v>9128544.0323076937</v>
      </c>
      <c r="D15" s="7">
        <v>1663.6599999999999</v>
      </c>
      <c r="E15" s="7">
        <v>9130207.6923076939</v>
      </c>
      <c r="F15" s="376">
        <f t="shared" si="0"/>
        <v>9253437.7532925773</v>
      </c>
      <c r="G15" s="15">
        <v>720.4000000000002</v>
      </c>
      <c r="H15" s="15">
        <v>0</v>
      </c>
      <c r="I15" s="2">
        <v>29</v>
      </c>
      <c r="J15" s="7">
        <v>651.20000000000005</v>
      </c>
      <c r="K15" s="379">
        <v>123230.06098488402</v>
      </c>
      <c r="L15" s="7">
        <v>3768297.0046930001</v>
      </c>
      <c r="M15" s="7"/>
      <c r="N15" s="135"/>
      <c r="O15" s="7"/>
      <c r="P15" s="163"/>
      <c r="Q15" s="376">
        <f t="shared" si="1"/>
        <v>9626911.629232401</v>
      </c>
      <c r="R15" s="7">
        <f t="shared" si="2"/>
        <v>496703.93692470714</v>
      </c>
      <c r="S15" s="139">
        <f t="shared" si="3"/>
        <v>5.4402260459330623E-2</v>
      </c>
      <c r="T15" s="139">
        <f t="shared" si="4"/>
        <v>5.4402260459330623E-2</v>
      </c>
      <c r="U15" s="136"/>
      <c r="V15" s="251"/>
      <c r="W15" s="251"/>
      <c r="X15" s="251"/>
      <c r="Y15" s="251"/>
      <c r="Z15" s="251"/>
      <c r="AA15" s="251"/>
      <c r="AB15" s="251"/>
      <c r="AC15" s="251"/>
      <c r="AD15" s="251"/>
    </row>
    <row r="16" spans="1:130">
      <c r="A16" s="2">
        <v>2011</v>
      </c>
      <c r="B16" s="2" t="s">
        <v>4</v>
      </c>
      <c r="C16" s="7">
        <v>9819841.7661538478</v>
      </c>
      <c r="D16" s="7">
        <v>5312.08</v>
      </c>
      <c r="E16" s="7">
        <v>9825153.8461538479</v>
      </c>
      <c r="F16" s="376">
        <f t="shared" si="0"/>
        <v>9950792.1166601442</v>
      </c>
      <c r="G16" s="15">
        <v>660.1</v>
      </c>
      <c r="H16" s="15">
        <v>0</v>
      </c>
      <c r="I16" s="2">
        <v>31</v>
      </c>
      <c r="J16" s="7">
        <v>657.1</v>
      </c>
      <c r="K16" s="379">
        <v>125638.27050629631</v>
      </c>
      <c r="L16" s="7">
        <v>4320214.4097060002</v>
      </c>
      <c r="M16" s="7"/>
      <c r="N16" s="135"/>
      <c r="O16" s="7"/>
      <c r="P16" s="163"/>
      <c r="Q16" s="376">
        <f t="shared" si="1"/>
        <v>10280677.78643468</v>
      </c>
      <c r="R16" s="7">
        <f t="shared" si="2"/>
        <v>455523.94028083235</v>
      </c>
      <c r="S16" s="139">
        <f t="shared" si="3"/>
        <v>4.6363033842890068E-2</v>
      </c>
      <c r="T16" s="139">
        <f t="shared" si="4"/>
        <v>4.6363033842890068E-2</v>
      </c>
      <c r="U16" s="136"/>
      <c r="V16" s="254"/>
      <c r="W16" s="254" t="s">
        <v>39</v>
      </c>
      <c r="X16" s="254" t="s">
        <v>27</v>
      </c>
      <c r="Y16" s="254" t="s">
        <v>40</v>
      </c>
      <c r="Z16" s="254" t="s">
        <v>41</v>
      </c>
      <c r="AA16" s="254" t="s">
        <v>42</v>
      </c>
      <c r="AB16" s="254" t="s">
        <v>43</v>
      </c>
      <c r="AC16" s="254" t="s">
        <v>44</v>
      </c>
      <c r="AD16" s="254" t="s">
        <v>45</v>
      </c>
    </row>
    <row r="17" spans="1:40">
      <c r="A17" s="2">
        <v>2011</v>
      </c>
      <c r="B17" s="2" t="s">
        <v>5</v>
      </c>
      <c r="C17" s="7">
        <v>7993570.4807692319</v>
      </c>
      <c r="D17" s="7">
        <v>7098.75</v>
      </c>
      <c r="E17" s="7">
        <v>8000669.2307692319</v>
      </c>
      <c r="F17" s="376">
        <f t="shared" si="0"/>
        <v>8128715.7107969401</v>
      </c>
      <c r="G17" s="15">
        <v>379.3</v>
      </c>
      <c r="H17" s="15">
        <v>0</v>
      </c>
      <c r="I17" s="2">
        <v>30</v>
      </c>
      <c r="J17" s="7">
        <v>666.4</v>
      </c>
      <c r="K17" s="379">
        <v>128046.48002770859</v>
      </c>
      <c r="L17" s="7">
        <v>3411269.8554350003</v>
      </c>
      <c r="M17" s="7"/>
      <c r="N17" s="135"/>
      <c r="O17" s="7"/>
      <c r="P17" s="163"/>
      <c r="Q17" s="376">
        <f t="shared" si="1"/>
        <v>8526127.1826021597</v>
      </c>
      <c r="R17" s="7">
        <f t="shared" si="2"/>
        <v>525457.95183292776</v>
      </c>
      <c r="S17" s="139">
        <f t="shared" si="3"/>
        <v>6.567674986638676E-2</v>
      </c>
      <c r="T17" s="139">
        <f t="shared" si="4"/>
        <v>6.567674986638676E-2</v>
      </c>
      <c r="U17" s="136"/>
      <c r="V17" s="382" t="s">
        <v>33</v>
      </c>
      <c r="W17" s="252">
        <v>-86404.655621130951</v>
      </c>
      <c r="X17" s="252">
        <v>531037.75461779814</v>
      </c>
      <c r="Y17" s="252">
        <v>-0.16270906328179746</v>
      </c>
      <c r="Z17" s="252">
        <v>0.87103557907468443</v>
      </c>
      <c r="AA17" s="252">
        <v>-1138386.3574533835</v>
      </c>
      <c r="AB17" s="252">
        <v>965577.0462111216</v>
      </c>
      <c r="AC17" s="252">
        <v>-1138386.3574533835</v>
      </c>
      <c r="AD17" s="252">
        <v>965577.0462111216</v>
      </c>
    </row>
    <row r="18" spans="1:40">
      <c r="A18" s="2">
        <v>2011</v>
      </c>
      <c r="B18" s="2" t="s">
        <v>6</v>
      </c>
      <c r="C18" s="7">
        <v>7965990.9553846158</v>
      </c>
      <c r="D18" s="7">
        <v>6193.66</v>
      </c>
      <c r="E18" s="7">
        <v>7972184.615384616</v>
      </c>
      <c r="F18" s="376">
        <f t="shared" si="0"/>
        <v>8102639.304933737</v>
      </c>
      <c r="G18" s="15">
        <v>168.09999999999997</v>
      </c>
      <c r="H18" s="15">
        <v>12.8</v>
      </c>
      <c r="I18" s="2">
        <v>31</v>
      </c>
      <c r="J18" s="7">
        <v>671.5</v>
      </c>
      <c r="K18" s="379">
        <v>130454.68954912087</v>
      </c>
      <c r="L18" s="7">
        <v>3753615.9545820006</v>
      </c>
      <c r="M18" s="7"/>
      <c r="N18" s="135"/>
      <c r="O18" s="7"/>
      <c r="P18" s="163"/>
      <c r="Q18" s="376">
        <f t="shared" si="1"/>
        <v>8584017.4168306272</v>
      </c>
      <c r="R18" s="7">
        <f t="shared" si="2"/>
        <v>611832.80144601129</v>
      </c>
      <c r="S18" s="139">
        <f t="shared" si="3"/>
        <v>7.6745939910285624E-2</v>
      </c>
      <c r="T18" s="139">
        <f t="shared" si="4"/>
        <v>7.6745939910285624E-2</v>
      </c>
      <c r="U18" s="136"/>
      <c r="V18" s="382" t="s">
        <v>15</v>
      </c>
      <c r="W18" s="252">
        <v>2580.265714291163</v>
      </c>
      <c r="X18" s="252">
        <v>65.016582881540089</v>
      </c>
      <c r="Y18" s="252">
        <v>39.686270793289694</v>
      </c>
      <c r="Z18" s="252">
        <v>1.4325982176707767E-68</v>
      </c>
      <c r="AA18" s="252">
        <v>2451.4683643621229</v>
      </c>
      <c r="AB18" s="252">
        <v>2709.0630642202032</v>
      </c>
      <c r="AC18" s="252">
        <v>2451.4683643621229</v>
      </c>
      <c r="AD18" s="252">
        <v>2709.0630642202032</v>
      </c>
    </row>
    <row r="19" spans="1:40">
      <c r="A19" s="2">
        <v>2011</v>
      </c>
      <c r="B19" s="2" t="s">
        <v>7</v>
      </c>
      <c r="C19" s="7">
        <v>7938233.0184615394</v>
      </c>
      <c r="D19" s="7">
        <v>9228.52</v>
      </c>
      <c r="E19" s="7">
        <v>7947461.538461539</v>
      </c>
      <c r="F19" s="376">
        <f t="shared" si="0"/>
        <v>8080324.437532072</v>
      </c>
      <c r="G19" s="15">
        <v>64.099999999999994</v>
      </c>
      <c r="H19" s="15">
        <v>16.400000000000002</v>
      </c>
      <c r="I19" s="2">
        <v>30</v>
      </c>
      <c r="J19" s="7">
        <v>681.8</v>
      </c>
      <c r="K19" s="379">
        <v>132862.89907053314</v>
      </c>
      <c r="L19" s="7">
        <v>3885859.6709010005</v>
      </c>
      <c r="M19" s="7"/>
      <c r="N19" s="135"/>
      <c r="O19" s="7"/>
      <c r="P19" s="163"/>
      <c r="Q19" s="376">
        <f t="shared" si="1"/>
        <v>8364155.2371569658</v>
      </c>
      <c r="R19" s="7">
        <f t="shared" si="2"/>
        <v>416693.69869542681</v>
      </c>
      <c r="S19" s="139">
        <f t="shared" si="3"/>
        <v>5.2431043129790335E-2</v>
      </c>
      <c r="T19" s="139">
        <f t="shared" si="4"/>
        <v>5.2431043129790335E-2</v>
      </c>
      <c r="U19" s="136"/>
      <c r="V19" s="382" t="s">
        <v>46</v>
      </c>
      <c r="W19" s="252">
        <v>10190.146186275701</v>
      </c>
      <c r="X19" s="252">
        <v>681.71204393110133</v>
      </c>
      <c r="Y19" s="252">
        <v>14.947874659092262</v>
      </c>
      <c r="Z19" s="252">
        <v>1.2491436822944483E-28</v>
      </c>
      <c r="AA19" s="252">
        <v>8839.6798778108077</v>
      </c>
      <c r="AB19" s="252">
        <v>11540.612494740593</v>
      </c>
      <c r="AC19" s="252">
        <v>8839.6798778108077</v>
      </c>
      <c r="AD19" s="252">
        <v>11540.612494740593</v>
      </c>
    </row>
    <row r="20" spans="1:40">
      <c r="A20" s="2">
        <v>2011</v>
      </c>
      <c r="B20" s="2" t="s">
        <v>8</v>
      </c>
      <c r="C20" s="7">
        <v>8260101.8892307691</v>
      </c>
      <c r="D20" s="7">
        <v>22628.879999999997</v>
      </c>
      <c r="E20" s="7">
        <v>8282730.769230769</v>
      </c>
      <c r="F20" s="376">
        <f t="shared" si="0"/>
        <v>8418001.8778227139</v>
      </c>
      <c r="G20" s="15">
        <v>3.7</v>
      </c>
      <c r="H20" s="15">
        <v>104.29999999999998</v>
      </c>
      <c r="I20" s="2">
        <v>31</v>
      </c>
      <c r="J20" s="7">
        <v>691.5</v>
      </c>
      <c r="K20" s="379">
        <v>135271.10859194543</v>
      </c>
      <c r="L20" s="7">
        <v>3654592.0448179999</v>
      </c>
      <c r="M20" s="7"/>
      <c r="N20" s="135"/>
      <c r="O20" s="7"/>
      <c r="P20" s="163"/>
      <c r="Q20" s="376">
        <f t="shared" si="1"/>
        <v>9005689.179913152</v>
      </c>
      <c r="R20" s="7">
        <f t="shared" si="2"/>
        <v>722958.41068238299</v>
      </c>
      <c r="S20" s="139">
        <f t="shared" si="3"/>
        <v>8.7285030846116149E-2</v>
      </c>
      <c r="T20" s="139">
        <f t="shared" si="4"/>
        <v>8.7285030846116149E-2</v>
      </c>
      <c r="U20" s="136"/>
      <c r="V20" s="382" t="s">
        <v>16</v>
      </c>
      <c r="W20" s="252">
        <v>126876.6727963329</v>
      </c>
      <c r="X20" s="252">
        <v>15537.556502685389</v>
      </c>
      <c r="Y20" s="252">
        <v>8.1658060438528111</v>
      </c>
      <c r="Z20" s="252">
        <v>4.8134433795623598E-13</v>
      </c>
      <c r="AA20" s="252">
        <v>96096.893035148416</v>
      </c>
      <c r="AB20" s="252">
        <v>157656.45255751739</v>
      </c>
      <c r="AC20" s="252">
        <v>96096.893035148416</v>
      </c>
      <c r="AD20" s="252">
        <v>157656.45255751739</v>
      </c>
    </row>
    <row r="21" spans="1:40">
      <c r="A21" s="2">
        <v>2011</v>
      </c>
      <c r="B21" s="2" t="s">
        <v>9</v>
      </c>
      <c r="C21" s="7">
        <v>8859702.7630769238</v>
      </c>
      <c r="D21" s="7">
        <v>10674.16</v>
      </c>
      <c r="E21" s="7">
        <v>8870376.9230769239</v>
      </c>
      <c r="F21" s="376">
        <f t="shared" si="0"/>
        <v>9008056.2411902808</v>
      </c>
      <c r="G21" s="15">
        <v>13.6</v>
      </c>
      <c r="H21" s="15">
        <v>53.300000000000004</v>
      </c>
      <c r="I21" s="2">
        <v>31</v>
      </c>
      <c r="J21" s="7">
        <v>694.9</v>
      </c>
      <c r="K21" s="379">
        <v>137679.3181133577</v>
      </c>
      <c r="L21" s="7">
        <v>4498564.7389930002</v>
      </c>
      <c r="M21" s="7"/>
      <c r="N21" s="135"/>
      <c r="O21" s="7"/>
      <c r="P21" s="163"/>
      <c r="Q21" s="376">
        <f t="shared" si="1"/>
        <v>9357632.8557989746</v>
      </c>
      <c r="R21" s="7">
        <f t="shared" si="2"/>
        <v>487255.9327220507</v>
      </c>
      <c r="S21" s="139">
        <f t="shared" si="3"/>
        <v>5.4930690876778793E-2</v>
      </c>
      <c r="T21" s="139">
        <f t="shared" si="4"/>
        <v>5.4930690876778793E-2</v>
      </c>
      <c r="U21" s="136"/>
      <c r="V21" s="382" t="s">
        <v>78</v>
      </c>
      <c r="W21" s="252">
        <v>624.64901158829116</v>
      </c>
      <c r="X21" s="252">
        <v>415.61179243606301</v>
      </c>
      <c r="Y21" s="252">
        <v>1.5029626756425254</v>
      </c>
      <c r="Z21" s="252">
        <v>0.1356138424122805</v>
      </c>
      <c r="AA21" s="252">
        <v>-198.67474817549135</v>
      </c>
      <c r="AB21" s="252">
        <v>1447.9727713520738</v>
      </c>
      <c r="AC21" s="252">
        <v>-198.67474817549135</v>
      </c>
      <c r="AD21" s="252">
        <v>1447.9727713520738</v>
      </c>
    </row>
    <row r="22" spans="1:40">
      <c r="A22" s="2">
        <v>2011</v>
      </c>
      <c r="B22" s="2" t="s">
        <v>10</v>
      </c>
      <c r="C22" s="7">
        <v>8375602.868461539</v>
      </c>
      <c r="D22" s="7">
        <v>8058.670000000001</v>
      </c>
      <c r="E22" s="7">
        <v>8383661.538461539</v>
      </c>
      <c r="F22" s="376">
        <f t="shared" si="0"/>
        <v>8523749.0660963096</v>
      </c>
      <c r="G22" s="15">
        <v>106.33333333333331</v>
      </c>
      <c r="H22" s="15">
        <v>20.7</v>
      </c>
      <c r="I22" s="2">
        <v>30</v>
      </c>
      <c r="J22" s="7">
        <v>688.6</v>
      </c>
      <c r="K22" s="379">
        <v>140087.52763477</v>
      </c>
      <c r="L22" s="7">
        <v>4242244.9229550008</v>
      </c>
      <c r="M22" s="7"/>
      <c r="N22" s="135"/>
      <c r="O22" s="7"/>
      <c r="Q22" s="376">
        <f t="shared" si="1"/>
        <v>8877578.9530909825</v>
      </c>
      <c r="R22" s="7">
        <f t="shared" si="2"/>
        <v>493917.41462944355</v>
      </c>
      <c r="S22" s="139">
        <f t="shared" si="3"/>
        <v>5.8914283736707346E-2</v>
      </c>
      <c r="T22" s="139">
        <f t="shared" si="4"/>
        <v>5.8914283736707346E-2</v>
      </c>
      <c r="V22" s="382" t="s">
        <v>153</v>
      </c>
      <c r="W22" s="252">
        <v>0.91214522687620803</v>
      </c>
      <c r="X22" s="252">
        <v>3.3685110535590812E-2</v>
      </c>
      <c r="Y22" s="252">
        <v>27.078587909410572</v>
      </c>
      <c r="Z22" s="252">
        <v>1.7793184425340838E-51</v>
      </c>
      <c r="AA22" s="252">
        <v>0.84541528234873708</v>
      </c>
      <c r="AB22" s="252">
        <v>0.97887517140367897</v>
      </c>
      <c r="AC22" s="252">
        <v>0.84541528234873708</v>
      </c>
      <c r="AD22" s="252">
        <v>0.97887517140367897</v>
      </c>
    </row>
    <row r="23" spans="1:40">
      <c r="A23" s="2">
        <v>2011</v>
      </c>
      <c r="B23" s="2" t="s">
        <v>11</v>
      </c>
      <c r="C23" s="7">
        <v>8940191.7138461545</v>
      </c>
      <c r="D23" s="7">
        <v>6054.44</v>
      </c>
      <c r="E23" s="7">
        <v>8946246.153846154</v>
      </c>
      <c r="F23" s="376">
        <f t="shared" si="0"/>
        <v>9088741.8910023365</v>
      </c>
      <c r="G23" s="15">
        <v>276.60000000000008</v>
      </c>
      <c r="H23" s="15">
        <v>0.3</v>
      </c>
      <c r="I23" s="2">
        <v>31</v>
      </c>
      <c r="J23" s="7">
        <v>682.2</v>
      </c>
      <c r="K23" s="379">
        <v>142495.73715618227</v>
      </c>
      <c r="L23" s="7">
        <v>4411473.7128020003</v>
      </c>
      <c r="M23" s="7"/>
      <c r="N23" s="135"/>
      <c r="O23" s="7"/>
      <c r="Q23" s="376">
        <f t="shared" si="1"/>
        <v>9401140.9221467674</v>
      </c>
      <c r="R23" s="7">
        <f t="shared" si="2"/>
        <v>454894.76830061339</v>
      </c>
      <c r="S23" s="139">
        <f t="shared" si="3"/>
        <v>5.0847557788810206E-2</v>
      </c>
      <c r="T23" s="139">
        <f t="shared" si="4"/>
        <v>5.0847557788810206E-2</v>
      </c>
      <c r="V23"/>
      <c r="W23"/>
      <c r="X23"/>
      <c r="Y23"/>
      <c r="Z23"/>
      <c r="AA23"/>
      <c r="AB23"/>
      <c r="AC23"/>
      <c r="AD23"/>
      <c r="AE23"/>
    </row>
    <row r="24" spans="1:40">
      <c r="A24" s="2">
        <v>2011</v>
      </c>
      <c r="B24" s="2" t="s">
        <v>12</v>
      </c>
      <c r="C24" s="7">
        <v>8871563.3261538465</v>
      </c>
      <c r="D24" s="7">
        <v>4890.5200000000004</v>
      </c>
      <c r="E24" s="7">
        <v>8876453.846153846</v>
      </c>
      <c r="F24" s="376">
        <f t="shared" si="0"/>
        <v>9021357.7928314414</v>
      </c>
      <c r="G24" s="15">
        <v>399.39999999999992</v>
      </c>
      <c r="H24" s="15">
        <v>0</v>
      </c>
      <c r="I24" s="2">
        <v>30</v>
      </c>
      <c r="J24" s="7">
        <v>677</v>
      </c>
      <c r="K24" s="379">
        <v>144903.94667759456</v>
      </c>
      <c r="L24" s="7">
        <v>4082024.3273420003</v>
      </c>
      <c r="M24" s="7"/>
      <c r="N24" s="135"/>
      <c r="O24" s="7"/>
      <c r="Q24" s="376">
        <f t="shared" si="1"/>
        <v>9255366.2748892475</v>
      </c>
      <c r="R24" s="7">
        <f t="shared" si="2"/>
        <v>378912.42873540148</v>
      </c>
      <c r="S24" s="139">
        <f t="shared" si="3"/>
        <v>4.2687365394186515E-2</v>
      </c>
      <c r="T24" s="139">
        <f t="shared" si="4"/>
        <v>4.2687365394186515E-2</v>
      </c>
      <c r="V24"/>
      <c r="W24"/>
      <c r="X24"/>
      <c r="Y24"/>
      <c r="Z24"/>
      <c r="AA24"/>
      <c r="AB24"/>
      <c r="AC24"/>
      <c r="AD24"/>
    </row>
    <row r="25" spans="1:40">
      <c r="A25" s="2">
        <v>2011</v>
      </c>
      <c r="B25" s="2" t="s">
        <v>13</v>
      </c>
      <c r="C25" s="7">
        <v>9351798.3469230756</v>
      </c>
      <c r="D25" s="7">
        <v>1824.73</v>
      </c>
      <c r="E25" s="7">
        <v>9353623.0769230761</v>
      </c>
      <c r="F25" s="376">
        <f t="shared" si="0"/>
        <v>9500935.2331220824</v>
      </c>
      <c r="G25" s="15">
        <v>609.79999999999984</v>
      </c>
      <c r="H25" s="15">
        <v>0</v>
      </c>
      <c r="I25" s="2">
        <v>31</v>
      </c>
      <c r="J25" s="7">
        <v>676.6</v>
      </c>
      <c r="K25" s="379">
        <v>147312.15619900686</v>
      </c>
      <c r="L25" s="7">
        <v>3790571.2206960004</v>
      </c>
      <c r="M25" s="7"/>
      <c r="N25" s="135"/>
      <c r="O25" s="7"/>
      <c r="Q25" s="376">
        <f t="shared" si="1"/>
        <v>9633427.8877218049</v>
      </c>
      <c r="R25" s="7">
        <f t="shared" si="2"/>
        <v>279804.81079872884</v>
      </c>
      <c r="S25" s="139">
        <f t="shared" si="3"/>
        <v>2.991405667062352E-2</v>
      </c>
      <c r="T25" s="139">
        <f t="shared" si="4"/>
        <v>2.991405667062352E-2</v>
      </c>
      <c r="V25"/>
      <c r="W25"/>
      <c r="X25"/>
      <c r="Y25"/>
      <c r="Z25"/>
      <c r="AA25"/>
      <c r="AB25"/>
      <c r="AC25"/>
      <c r="AD25"/>
    </row>
    <row r="26" spans="1:40">
      <c r="A26" s="134">
        <v>2012</v>
      </c>
      <c r="B26" s="134" t="s">
        <v>2</v>
      </c>
      <c r="C26" s="7">
        <v>9967007.9638461564</v>
      </c>
      <c r="D26" s="7">
        <v>2638.1899999999996</v>
      </c>
      <c r="E26" s="7">
        <v>9969646.1538461559</v>
      </c>
      <c r="F26" s="376">
        <f t="shared" si="0"/>
        <v>10120284.040010687</v>
      </c>
      <c r="G26" s="15">
        <v>694.59999999999991</v>
      </c>
      <c r="H26" s="15">
        <v>0</v>
      </c>
      <c r="I26" s="2">
        <v>31</v>
      </c>
      <c r="J26" s="7">
        <v>670.9</v>
      </c>
      <c r="K26" s="379">
        <v>150637.88616453169</v>
      </c>
      <c r="L26" s="7">
        <v>4250569.7720590001</v>
      </c>
      <c r="M26" s="7"/>
      <c r="N26" s="135"/>
      <c r="O26" s="7"/>
      <c r="Q26" s="376">
        <f t="shared" si="1"/>
        <v>10308672.472290643</v>
      </c>
      <c r="R26" s="7">
        <f t="shared" si="2"/>
        <v>339026.31844448671</v>
      </c>
      <c r="S26" s="139">
        <f t="shared" si="3"/>
        <v>3.400585268652638E-2</v>
      </c>
      <c r="T26" s="139">
        <f t="shared" si="4"/>
        <v>3.400585268652638E-2</v>
      </c>
      <c r="V26"/>
      <c r="W26"/>
      <c r="X26"/>
      <c r="Y26"/>
      <c r="Z26"/>
      <c r="AA26"/>
      <c r="AB26"/>
      <c r="AC26"/>
      <c r="AD26"/>
      <c r="AF26"/>
      <c r="AG26"/>
      <c r="AH26"/>
      <c r="AI26"/>
      <c r="AJ26"/>
      <c r="AK26"/>
      <c r="AL26"/>
      <c r="AM26"/>
      <c r="AN26"/>
    </row>
    <row r="27" spans="1:40">
      <c r="A27" s="2">
        <v>2012</v>
      </c>
      <c r="B27" s="2" t="s">
        <v>3</v>
      </c>
      <c r="C27" s="7">
        <v>9262148.6623076946</v>
      </c>
      <c r="D27" s="7">
        <v>4659.03</v>
      </c>
      <c r="E27" s="7">
        <v>9266807.6923076939</v>
      </c>
      <c r="F27" s="376">
        <f t="shared" si="0"/>
        <v>9420771.3084377497</v>
      </c>
      <c r="G27" s="15">
        <v>611.39999999999986</v>
      </c>
      <c r="H27" s="15">
        <v>0</v>
      </c>
      <c r="I27" s="2">
        <v>28</v>
      </c>
      <c r="J27" s="7">
        <v>668.7</v>
      </c>
      <c r="K27" s="379">
        <v>153963.61613005653</v>
      </c>
      <c r="L27" s="7">
        <v>4141903.1103710001</v>
      </c>
      <c r="M27" s="7"/>
      <c r="N27" s="135"/>
      <c r="O27" s="7"/>
      <c r="Q27" s="376">
        <f t="shared" si="1"/>
        <v>9603323.4569591247</v>
      </c>
      <c r="R27" s="7">
        <f t="shared" si="2"/>
        <v>336515.76465143077</v>
      </c>
      <c r="S27" s="139">
        <f t="shared" si="3"/>
        <v>3.6314098212135118E-2</v>
      </c>
      <c r="T27" s="139">
        <f t="shared" si="4"/>
        <v>3.6314098212135118E-2</v>
      </c>
      <c r="V27"/>
      <c r="W27"/>
      <c r="X27"/>
      <c r="Y27"/>
      <c r="Z27"/>
      <c r="AA27"/>
      <c r="AB27"/>
      <c r="AC27"/>
      <c r="AD27"/>
    </row>
    <row r="28" spans="1:40">
      <c r="A28" s="2">
        <v>2012</v>
      </c>
      <c r="B28" s="2" t="s">
        <v>4</v>
      </c>
      <c r="C28" s="7">
        <v>9399442.7746153865</v>
      </c>
      <c r="D28" s="7">
        <v>10172.61</v>
      </c>
      <c r="E28" s="7">
        <v>9409615.3846153859</v>
      </c>
      <c r="F28" s="376">
        <f t="shared" si="0"/>
        <v>9566904.7307109665</v>
      </c>
      <c r="G28" s="15">
        <v>388.69999999999987</v>
      </c>
      <c r="H28" s="15">
        <v>3.4000000000000004</v>
      </c>
      <c r="I28" s="2">
        <v>31</v>
      </c>
      <c r="J28" s="7">
        <v>666</v>
      </c>
      <c r="K28" s="379">
        <v>157289.34609558136</v>
      </c>
      <c r="L28" s="7">
        <v>4592873.6529520005</v>
      </c>
      <c r="M28" s="7"/>
      <c r="N28" s="135"/>
      <c r="O28" s="7"/>
      <c r="Q28" s="376">
        <f t="shared" si="1"/>
        <v>9893258.7880585305</v>
      </c>
      <c r="R28" s="7">
        <f t="shared" si="2"/>
        <v>483643.40344314463</v>
      </c>
      <c r="S28" s="139">
        <f t="shared" si="3"/>
        <v>5.1398849333831022E-2</v>
      </c>
      <c r="T28" s="139">
        <f t="shared" si="4"/>
        <v>5.1398849333831022E-2</v>
      </c>
      <c r="V28"/>
      <c r="W28"/>
      <c r="X28"/>
      <c r="Y28"/>
      <c r="Z28"/>
      <c r="AA28"/>
      <c r="AB28"/>
      <c r="AC28"/>
      <c r="AD28"/>
    </row>
    <row r="29" spans="1:40" ht="15.65" customHeight="1">
      <c r="A29" s="2">
        <v>2012</v>
      </c>
      <c r="B29" s="2" t="s">
        <v>5</v>
      </c>
      <c r="C29" s="7">
        <v>8515350.2692307699</v>
      </c>
      <c r="D29" s="7">
        <v>13280.5</v>
      </c>
      <c r="E29" s="7">
        <v>8528630.7692307699</v>
      </c>
      <c r="F29" s="376">
        <f t="shared" si="0"/>
        <v>8689245.8452918753</v>
      </c>
      <c r="G29" s="15">
        <v>399</v>
      </c>
      <c r="H29" s="15">
        <v>0</v>
      </c>
      <c r="I29" s="2">
        <v>30</v>
      </c>
      <c r="J29" s="7">
        <v>667.4</v>
      </c>
      <c r="K29" s="379">
        <v>160615.07606110617</v>
      </c>
      <c r="L29" s="7">
        <v>4218127.1515630009</v>
      </c>
      <c r="M29" s="7"/>
      <c r="N29" s="135"/>
      <c r="O29" s="7"/>
      <c r="Q29" s="376">
        <f t="shared" si="1"/>
        <v>9384440.3623132836</v>
      </c>
      <c r="R29" s="7">
        <f t="shared" si="2"/>
        <v>855809.59308251366</v>
      </c>
      <c r="S29" s="139">
        <f t="shared" si="3"/>
        <v>0.10034548525304519</v>
      </c>
      <c r="T29" s="139">
        <f t="shared" si="4"/>
        <v>0.10034548525304519</v>
      </c>
      <c r="V29" s="132"/>
      <c r="W29"/>
      <c r="X29" s="132"/>
      <c r="Y29" s="132"/>
      <c r="Z29" s="132"/>
      <c r="AA29" s="132"/>
      <c r="AB29" s="132"/>
      <c r="AC29" s="132"/>
      <c r="AD29" s="132"/>
    </row>
    <row r="30" spans="1:40" ht="34.5" customHeight="1">
      <c r="A30" s="2">
        <v>2012</v>
      </c>
      <c r="B30" s="2" t="s">
        <v>6</v>
      </c>
      <c r="C30" s="7">
        <v>8595523.6599999983</v>
      </c>
      <c r="D30" s="7">
        <v>16576.340000000004</v>
      </c>
      <c r="E30" s="7">
        <v>8612099.9999999981</v>
      </c>
      <c r="F30" s="376">
        <f t="shared" si="0"/>
        <v>8776040.8060266282</v>
      </c>
      <c r="G30" s="15">
        <v>123.8</v>
      </c>
      <c r="H30" s="15">
        <v>17.400000000000002</v>
      </c>
      <c r="I30" s="2">
        <v>31</v>
      </c>
      <c r="J30" s="7">
        <v>672.1</v>
      </c>
      <c r="K30" s="379">
        <v>163940.80602663101</v>
      </c>
      <c r="L30" s="7">
        <v>4557567.8623670004</v>
      </c>
      <c r="M30" s="7"/>
      <c r="N30" s="135"/>
      <c r="O30" s="7"/>
      <c r="Q30" s="376">
        <f t="shared" si="1"/>
        <v>9320913.0153363496</v>
      </c>
      <c r="R30" s="7">
        <f t="shared" si="2"/>
        <v>708813.01533635147</v>
      </c>
      <c r="S30" s="139">
        <f t="shared" si="3"/>
        <v>8.230431780127398E-2</v>
      </c>
      <c r="T30" s="139">
        <f t="shared" si="4"/>
        <v>8.230431780127398E-2</v>
      </c>
      <c r="V30" s="256" t="s">
        <v>0</v>
      </c>
      <c r="W30" s="257" t="s">
        <v>151</v>
      </c>
      <c r="X30" s="270" t="s">
        <v>53</v>
      </c>
      <c r="Y30" s="256" t="s">
        <v>18</v>
      </c>
      <c r="Z30" s="265" t="s">
        <v>200</v>
      </c>
      <c r="AA30" s="256" t="s">
        <v>182</v>
      </c>
    </row>
    <row r="31" spans="1:40" ht="14.5">
      <c r="A31" s="2">
        <v>2012</v>
      </c>
      <c r="B31" s="2" t="s">
        <v>7</v>
      </c>
      <c r="C31" s="7">
        <v>8622525.7709090896</v>
      </c>
      <c r="D31" s="7">
        <v>16383.320000000002</v>
      </c>
      <c r="E31" s="7">
        <v>8638909.0909090899</v>
      </c>
      <c r="F31" s="376">
        <f t="shared" si="0"/>
        <v>8806175.6269012466</v>
      </c>
      <c r="G31" s="15">
        <v>56.4</v>
      </c>
      <c r="H31" s="15">
        <v>57.100000000000009</v>
      </c>
      <c r="I31" s="2">
        <v>30</v>
      </c>
      <c r="J31" s="7">
        <v>678.4</v>
      </c>
      <c r="K31" s="379">
        <v>167266.53599215584</v>
      </c>
      <c r="L31" s="7">
        <v>4499265.5448909998</v>
      </c>
      <c r="M31" s="7"/>
      <c r="N31" s="135"/>
      <c r="O31" s="7"/>
      <c r="Q31" s="376">
        <f t="shared" si="1"/>
        <v>9370308.2082889453</v>
      </c>
      <c r="R31" s="7">
        <f t="shared" si="2"/>
        <v>731399.11737985536</v>
      </c>
      <c r="S31" s="139">
        <f t="shared" si="3"/>
        <v>8.4663365441537339E-2</v>
      </c>
      <c r="T31" s="139">
        <f t="shared" si="4"/>
        <v>8.4663365441537339E-2</v>
      </c>
      <c r="V31" s="259">
        <v>2010</v>
      </c>
      <c r="W31" s="258">
        <f>SUM(E2:E13)</f>
        <v>102608246.15384616</v>
      </c>
      <c r="X31" s="267"/>
      <c r="Y31" s="258">
        <f>SUM(Q2:Q13)</f>
        <v>107690950.89954393</v>
      </c>
      <c r="Z31" s="266">
        <f>Y31-W31</f>
        <v>5082704.7456977665</v>
      </c>
      <c r="AA31" s="260">
        <f t="shared" ref="AA31:AA40" si="5">ABS(Y31-W31)/W31</f>
        <v>4.953505138443736E-2</v>
      </c>
    </row>
    <row r="32" spans="1:40" ht="14.5">
      <c r="A32" s="2">
        <v>2012</v>
      </c>
      <c r="B32" s="2" t="s">
        <v>8</v>
      </c>
      <c r="C32" s="7">
        <v>8752710.5327272713</v>
      </c>
      <c r="D32" s="7">
        <v>16816.740000000002</v>
      </c>
      <c r="E32" s="7">
        <v>8769527.2727272715</v>
      </c>
      <c r="F32" s="376">
        <f t="shared" si="0"/>
        <v>8940119.538684953</v>
      </c>
      <c r="G32" s="15">
        <v>0.4</v>
      </c>
      <c r="H32" s="15">
        <v>94.000000000000028</v>
      </c>
      <c r="I32" s="2">
        <v>31</v>
      </c>
      <c r="J32" s="7">
        <v>682</v>
      </c>
      <c r="K32" s="379">
        <v>170592.26595768068</v>
      </c>
      <c r="L32" s="7">
        <v>4141164.2481300007</v>
      </c>
      <c r="M32" s="7"/>
      <c r="N32" s="135"/>
      <c r="O32" s="7"/>
      <c r="Q32" s="376">
        <f t="shared" si="1"/>
        <v>9372853.8350392636</v>
      </c>
      <c r="R32" s="7">
        <f t="shared" si="2"/>
        <v>603326.56231199205</v>
      </c>
      <c r="S32" s="139">
        <f t="shared" si="3"/>
        <v>6.8798071269850908E-2</v>
      </c>
      <c r="T32" s="139">
        <f t="shared" si="4"/>
        <v>6.8798071269850908E-2</v>
      </c>
      <c r="V32" s="259">
        <v>2011</v>
      </c>
      <c r="W32" s="258">
        <f>SUM(E14:E25)</f>
        <v>105492261.53846154</v>
      </c>
      <c r="X32" s="268">
        <f>(W32-W31)/W31</f>
        <v>2.8107052724507291E-2</v>
      </c>
      <c r="Y32" s="258">
        <f>SUM(Q14:Q25)</f>
        <v>111245565.89516975</v>
      </c>
      <c r="Z32" s="266">
        <f t="shared" ref="Z32:Z40" si="6">Y32-W32</f>
        <v>5753304.3567082137</v>
      </c>
      <c r="AA32" s="260">
        <f t="shared" si="5"/>
        <v>5.4537690943431055E-2</v>
      </c>
    </row>
    <row r="33" spans="1:27" ht="14.5">
      <c r="A33" s="2">
        <v>2012</v>
      </c>
      <c r="B33" s="2" t="s">
        <v>9</v>
      </c>
      <c r="C33" s="7">
        <v>9181451.5500000007</v>
      </c>
      <c r="D33" s="7">
        <v>20048.45</v>
      </c>
      <c r="E33" s="7">
        <v>9201500</v>
      </c>
      <c r="F33" s="376">
        <f t="shared" si="0"/>
        <v>9375417.9959232062</v>
      </c>
      <c r="G33" s="15">
        <v>22.5</v>
      </c>
      <c r="H33" s="15">
        <v>50.7</v>
      </c>
      <c r="I33" s="2">
        <v>31</v>
      </c>
      <c r="J33" s="7">
        <v>678.5</v>
      </c>
      <c r="K33" s="379">
        <v>173917.99592320551</v>
      </c>
      <c r="L33" s="7">
        <v>4856393.7889999999</v>
      </c>
      <c r="M33" s="7"/>
      <c r="N33" s="135"/>
      <c r="O33" s="7"/>
      <c r="Q33" s="376">
        <f t="shared" si="1"/>
        <v>9701687.646788802</v>
      </c>
      <c r="R33" s="7">
        <f t="shared" si="2"/>
        <v>500187.646788802</v>
      </c>
      <c r="S33" s="139">
        <f t="shared" si="3"/>
        <v>5.4359359537988587E-2</v>
      </c>
      <c r="T33" s="139">
        <f t="shared" si="4"/>
        <v>5.4359359537988587E-2</v>
      </c>
      <c r="V33" s="259">
        <v>2012</v>
      </c>
      <c r="W33" s="258">
        <f>SUM(E26:E37)</f>
        <v>108285745.45454547</v>
      </c>
      <c r="X33" s="268">
        <f t="shared" ref="X33:X40" si="7">(W33-W32)/W32</f>
        <v>2.6480462882724841E-2</v>
      </c>
      <c r="Y33" s="258">
        <f>SUM(Q26:Q37)</f>
        <v>114572458.6172827</v>
      </c>
      <c r="Z33" s="266">
        <f t="shared" si="6"/>
        <v>6286713.1627372354</v>
      </c>
      <c r="AA33" s="260">
        <f t="shared" si="5"/>
        <v>5.8056701150717711E-2</v>
      </c>
    </row>
    <row r="34" spans="1:27" ht="14.5">
      <c r="A34" s="2">
        <v>2012</v>
      </c>
      <c r="B34" s="2" t="s">
        <v>10</v>
      </c>
      <c r="C34" s="7">
        <v>8434653.7318181824</v>
      </c>
      <c r="D34" s="7">
        <v>16364.45</v>
      </c>
      <c r="E34" s="7">
        <v>8451018.1818181816</v>
      </c>
      <c r="F34" s="376">
        <f t="shared" si="0"/>
        <v>8628261.9077069126</v>
      </c>
      <c r="G34" s="15">
        <v>134.69999999999999</v>
      </c>
      <c r="H34" s="15">
        <v>15.300000000000002</v>
      </c>
      <c r="I34" s="2">
        <v>30</v>
      </c>
      <c r="J34" s="7">
        <v>671.9</v>
      </c>
      <c r="K34" s="379">
        <v>177243.72588873032</v>
      </c>
      <c r="L34" s="7">
        <v>4216762.1303469995</v>
      </c>
      <c r="M34" s="7"/>
      <c r="N34" s="135"/>
      <c r="O34" s="7"/>
      <c r="Q34" s="376">
        <f t="shared" si="1"/>
        <v>8859831.270012293</v>
      </c>
      <c r="R34" s="7">
        <f t="shared" si="2"/>
        <v>408813.08819411136</v>
      </c>
      <c r="S34" s="139">
        <f t="shared" si="3"/>
        <v>4.8374418253370494E-2</v>
      </c>
      <c r="T34" s="139">
        <f t="shared" si="4"/>
        <v>4.8374418253370494E-2</v>
      </c>
      <c r="V34" s="259">
        <v>2013</v>
      </c>
      <c r="W34" s="258">
        <f>SUM(E38:E49)</f>
        <v>110963046.82000002</v>
      </c>
      <c r="X34" s="268">
        <f t="shared" si="7"/>
        <v>2.4724411825547171E-2</v>
      </c>
      <c r="Y34" s="258">
        <f>SUM(Q38:Q49)</f>
        <v>118169272.60977328</v>
      </c>
      <c r="Z34" s="266">
        <f t="shared" si="6"/>
        <v>7206225.7897732556</v>
      </c>
      <c r="AA34" s="260">
        <f t="shared" si="5"/>
        <v>6.4942573192523431E-2</v>
      </c>
    </row>
    <row r="35" spans="1:27" ht="14.5">
      <c r="A35" s="2">
        <v>2012</v>
      </c>
      <c r="B35" s="2" t="s">
        <v>11</v>
      </c>
      <c r="C35" s="7">
        <v>9146506.1836363636</v>
      </c>
      <c r="D35" s="7">
        <v>8530.1799999999985</v>
      </c>
      <c r="E35" s="7">
        <v>9155036.3636363633</v>
      </c>
      <c r="F35" s="376">
        <f t="shared" si="0"/>
        <v>9335892.7323562615</v>
      </c>
      <c r="G35" s="15">
        <v>292.2</v>
      </c>
      <c r="H35" s="15">
        <v>0</v>
      </c>
      <c r="I35" s="2">
        <v>31</v>
      </c>
      <c r="J35" s="7">
        <v>672.8</v>
      </c>
      <c r="K35" s="379">
        <v>180856.36871989889</v>
      </c>
      <c r="L35" s="7">
        <v>4599891.7149360003</v>
      </c>
      <c r="M35" s="7"/>
      <c r="N35" s="135"/>
      <c r="O35" s="7"/>
      <c r="Q35" s="376">
        <f t="shared" si="1"/>
        <v>9620882.3248588964</v>
      </c>
      <c r="R35" s="7">
        <f t="shared" si="2"/>
        <v>465845.96122253314</v>
      </c>
      <c r="S35" s="139">
        <f t="shared" si="3"/>
        <v>5.088411915793855E-2</v>
      </c>
      <c r="T35" s="139">
        <f t="shared" si="4"/>
        <v>5.088411915793855E-2</v>
      </c>
      <c r="V35" s="259">
        <v>2014</v>
      </c>
      <c r="W35" s="258">
        <f>SUM(E50:E61)</f>
        <v>112203044.71589744</v>
      </c>
      <c r="X35" s="268">
        <f t="shared" si="7"/>
        <v>1.1174872459197115E-2</v>
      </c>
      <c r="Y35" s="258">
        <f>SUM(Q50:Q61)</f>
        <v>119708739.27464177</v>
      </c>
      <c r="Z35" s="266">
        <f t="shared" si="6"/>
        <v>7505694.5587443262</v>
      </c>
      <c r="AA35" s="260">
        <f t="shared" si="5"/>
        <v>6.6893858163555572E-2</v>
      </c>
    </row>
    <row r="36" spans="1:27" ht="14.5">
      <c r="A36" s="2">
        <v>2012</v>
      </c>
      <c r="B36" s="2" t="s">
        <v>12</v>
      </c>
      <c r="C36" s="7">
        <v>9009830.8263636343</v>
      </c>
      <c r="D36" s="7">
        <v>6432.8099999999995</v>
      </c>
      <c r="E36" s="7">
        <v>9016263.6363636348</v>
      </c>
      <c r="F36" s="376">
        <f t="shared" si="0"/>
        <v>9200451.0194129627</v>
      </c>
      <c r="G36" s="15">
        <v>505.72222222222223</v>
      </c>
      <c r="H36" s="15">
        <v>0</v>
      </c>
      <c r="I36" s="2">
        <v>30</v>
      </c>
      <c r="J36" s="7">
        <v>676.8</v>
      </c>
      <c r="K36" s="379">
        <v>184187.3830493282</v>
      </c>
      <c r="L36" s="7">
        <v>4092980.1542040003</v>
      </c>
      <c r="M36" s="7"/>
      <c r="N36" s="135"/>
      <c r="O36" s="7"/>
      <c r="Q36" s="376">
        <f t="shared" si="1"/>
        <v>9540536.7566161752</v>
      </c>
      <c r="R36" s="7">
        <f t="shared" si="2"/>
        <v>524273.12025254034</v>
      </c>
      <c r="S36" s="139">
        <f t="shared" si="3"/>
        <v>5.8147492286947572E-2</v>
      </c>
      <c r="T36" s="139">
        <f t="shared" si="4"/>
        <v>5.8147492286947572E-2</v>
      </c>
      <c r="V36" s="259">
        <v>2015</v>
      </c>
      <c r="W36" s="258">
        <f>SUM(E62:E73)</f>
        <v>112178418.50384614</v>
      </c>
      <c r="X36" s="268">
        <f t="shared" si="7"/>
        <v>-2.1947900000090676E-4</v>
      </c>
      <c r="Y36" s="258">
        <f>SUM(Q62:Q73)</f>
        <v>120072335.24984401</v>
      </c>
      <c r="Z36" s="266">
        <f t="shared" si="6"/>
        <v>7893916.7459978759</v>
      </c>
      <c r="AA36" s="260">
        <f t="shared" si="5"/>
        <v>7.0369299650335379E-2</v>
      </c>
    </row>
    <row r="37" spans="1:27" ht="14.5">
      <c r="A37" s="2">
        <v>2012</v>
      </c>
      <c r="B37" s="2" t="s">
        <v>13</v>
      </c>
      <c r="C37" s="7">
        <v>9263492.1590909082</v>
      </c>
      <c r="D37" s="7">
        <v>3198.7499999999995</v>
      </c>
      <c r="E37" s="7">
        <v>9266690.9090909082</v>
      </c>
      <c r="F37" s="376">
        <f t="shared" si="0"/>
        <v>9454209.3064696658</v>
      </c>
      <c r="G37" s="15">
        <v>590.9</v>
      </c>
      <c r="H37" s="15">
        <v>0</v>
      </c>
      <c r="I37" s="2">
        <v>31</v>
      </c>
      <c r="J37" s="7">
        <v>682.7</v>
      </c>
      <c r="K37" s="379">
        <v>187518.39737875751</v>
      </c>
      <c r="L37" s="7">
        <v>3797850.4767240002</v>
      </c>
      <c r="M37" s="7"/>
      <c r="N37" s="135"/>
      <c r="O37" s="7"/>
      <c r="Q37" s="376">
        <f t="shared" si="1"/>
        <v>9595750.4807203915</v>
      </c>
      <c r="R37" s="7">
        <f t="shared" si="2"/>
        <v>329059.57162948325</v>
      </c>
      <c r="S37" s="139">
        <f t="shared" si="3"/>
        <v>3.5509932818269106E-2</v>
      </c>
      <c r="T37" s="139">
        <f t="shared" si="4"/>
        <v>3.5509932818269106E-2</v>
      </c>
      <c r="V37" s="259">
        <v>2016</v>
      </c>
      <c r="W37" s="258">
        <f>SUM(E74:E85)</f>
        <v>109112022.43230771</v>
      </c>
      <c r="X37" s="268">
        <f t="shared" si="7"/>
        <v>-2.7334991101102921E-2</v>
      </c>
      <c r="Y37" s="258">
        <f>SUM(Q74:Q85)</f>
        <v>117708668.33534871</v>
      </c>
      <c r="Z37" s="266">
        <f t="shared" si="6"/>
        <v>8596645.9030410051</v>
      </c>
      <c r="AA37" s="260">
        <f t="shared" si="5"/>
        <v>7.878733902466431E-2</v>
      </c>
    </row>
    <row r="38" spans="1:27" ht="14.5">
      <c r="A38" s="134">
        <v>2013</v>
      </c>
      <c r="B38" s="134" t="s">
        <v>2</v>
      </c>
      <c r="C38" s="7">
        <v>10224302.743333334</v>
      </c>
      <c r="D38" s="7">
        <v>4705.59</v>
      </c>
      <c r="E38" s="7">
        <v>10229008.333333334</v>
      </c>
      <c r="F38" s="376">
        <f t="shared" si="0"/>
        <v>10418306.029366469</v>
      </c>
      <c r="G38" s="15">
        <v>703.36666666666667</v>
      </c>
      <c r="H38" s="15">
        <v>0</v>
      </c>
      <c r="I38" s="2">
        <v>31</v>
      </c>
      <c r="J38" s="7">
        <v>681.6</v>
      </c>
      <c r="K38" s="379">
        <v>189297.6960331352</v>
      </c>
      <c r="L38" s="7">
        <v>4525946.9213760002</v>
      </c>
      <c r="M38" s="7"/>
      <c r="N38" s="135"/>
      <c r="O38" s="7"/>
      <c r="Q38" s="376">
        <f t="shared" si="1"/>
        <v>10613353.695460256</v>
      </c>
      <c r="R38" s="7">
        <f t="shared" si="2"/>
        <v>384345.36212692223</v>
      </c>
      <c r="S38" s="139">
        <f t="shared" si="3"/>
        <v>3.7574058950998558E-2</v>
      </c>
      <c r="T38" s="139">
        <f t="shared" si="4"/>
        <v>3.7574058950998558E-2</v>
      </c>
      <c r="V38" s="259">
        <v>2017</v>
      </c>
      <c r="W38" s="258">
        <f>SUM(E86:E97)</f>
        <v>107122742.0052381</v>
      </c>
      <c r="X38" s="268">
        <f t="shared" si="7"/>
        <v>-1.8231542067728965E-2</v>
      </c>
      <c r="Y38" s="258">
        <f>SUM(Q86:Q97)</f>
        <v>116678682.80865933</v>
      </c>
      <c r="Z38" s="266">
        <f t="shared" si="6"/>
        <v>9555940.8034212291</v>
      </c>
      <c r="AA38" s="260">
        <f t="shared" si="5"/>
        <v>8.9205528392411401E-2</v>
      </c>
    </row>
    <row r="39" spans="1:27" ht="14.5">
      <c r="A39" s="2">
        <v>2013</v>
      </c>
      <c r="B39" s="2" t="s">
        <v>3</v>
      </c>
      <c r="C39" s="7">
        <v>9381443.3200000022</v>
      </c>
      <c r="D39" s="7">
        <v>2406.6799999999994</v>
      </c>
      <c r="E39" s="7">
        <v>9383850.0000000019</v>
      </c>
      <c r="F39" s="376">
        <f t="shared" si="0"/>
        <v>9574926.9946875144</v>
      </c>
      <c r="G39" s="15">
        <v>699.59999999999991</v>
      </c>
      <c r="H39" s="15">
        <v>0</v>
      </c>
      <c r="I39" s="2">
        <v>28</v>
      </c>
      <c r="J39" s="7">
        <v>682.6</v>
      </c>
      <c r="K39" s="379">
        <v>191076.9946875129</v>
      </c>
      <c r="L39" s="7">
        <v>4293131.7804840002</v>
      </c>
      <c r="M39" s="7"/>
      <c r="N39" s="135"/>
      <c r="O39" s="7"/>
      <c r="Q39" s="376">
        <f t="shared" si="1"/>
        <v>9990814.1843336821</v>
      </c>
      <c r="R39" s="7">
        <f t="shared" si="2"/>
        <v>606964.1843336802</v>
      </c>
      <c r="S39" s="139">
        <f t="shared" si="3"/>
        <v>6.4681786722260062E-2</v>
      </c>
      <c r="T39" s="139">
        <f t="shared" si="4"/>
        <v>6.4681786722260062E-2</v>
      </c>
      <c r="V39" s="259">
        <v>2018</v>
      </c>
      <c r="W39" s="258">
        <f>SUM(E98:E109)</f>
        <v>106666687.58000003</v>
      </c>
      <c r="X39" s="268">
        <f t="shared" si="7"/>
        <v>-4.2573072412184212E-3</v>
      </c>
      <c r="Y39" s="258">
        <f>SUM(Q98:Q109)</f>
        <v>116518686.27370985</v>
      </c>
      <c r="Z39" s="266">
        <f t="shared" si="6"/>
        <v>9851998.6937098205</v>
      </c>
      <c r="AA39" s="260">
        <f t="shared" si="5"/>
        <v>9.2362469644712841E-2</v>
      </c>
    </row>
    <row r="40" spans="1:27" ht="14.5">
      <c r="A40" s="2">
        <v>2013</v>
      </c>
      <c r="B40" s="2" t="s">
        <v>4</v>
      </c>
      <c r="C40" s="7">
        <v>9813648.6333333347</v>
      </c>
      <c r="D40" s="7">
        <v>15409.699999999999</v>
      </c>
      <c r="E40" s="7">
        <v>9829058.333333334</v>
      </c>
      <c r="F40" s="376">
        <f t="shared" si="0"/>
        <v>10021914.626675224</v>
      </c>
      <c r="G40" s="15">
        <v>649</v>
      </c>
      <c r="H40" s="15">
        <v>0</v>
      </c>
      <c r="I40" s="2">
        <v>31</v>
      </c>
      <c r="J40" s="7">
        <v>683.6</v>
      </c>
      <c r="K40" s="379">
        <v>192856.29334189062</v>
      </c>
      <c r="L40" s="7">
        <v>4392825.450348001</v>
      </c>
      <c r="M40" s="7"/>
      <c r="N40" s="135"/>
      <c r="O40" s="7"/>
      <c r="Q40" s="376">
        <f t="shared" si="1"/>
        <v>10341201.076455139</v>
      </c>
      <c r="R40" s="7">
        <f t="shared" si="2"/>
        <v>512142.74312180467</v>
      </c>
      <c r="S40" s="139">
        <f t="shared" si="3"/>
        <v>5.2104965272713098E-2</v>
      </c>
      <c r="T40" s="139">
        <f t="shared" si="4"/>
        <v>5.2104965272713098E-2</v>
      </c>
      <c r="V40" s="259">
        <v>2019</v>
      </c>
      <c r="W40" s="264">
        <f>SUM(E110:E121)</f>
        <v>104914586.14000002</v>
      </c>
      <c r="X40" s="269">
        <f t="shared" si="7"/>
        <v>-1.6425947779487728E-2</v>
      </c>
      <c r="Y40" s="264">
        <f>SUM(Q110:Q121)</f>
        <v>114846820.1624752</v>
      </c>
      <c r="Z40" s="266">
        <f t="shared" si="6"/>
        <v>9932234.022475183</v>
      </c>
      <c r="AA40" s="260">
        <f t="shared" si="5"/>
        <v>9.4669715507636101E-2</v>
      </c>
    </row>
    <row r="41" spans="1:27" ht="14.5">
      <c r="A41" s="2">
        <v>2013</v>
      </c>
      <c r="B41" s="2" t="s">
        <v>5</v>
      </c>
      <c r="C41" s="7">
        <v>9183566.2666666675</v>
      </c>
      <c r="D41" s="7">
        <v>23775.4</v>
      </c>
      <c r="E41" s="7">
        <v>9207341.6666666679</v>
      </c>
      <c r="F41" s="376">
        <f t="shared" si="0"/>
        <v>9401977.2586629353</v>
      </c>
      <c r="G41" s="15">
        <v>414.2</v>
      </c>
      <c r="H41" s="15">
        <v>0</v>
      </c>
      <c r="I41" s="2">
        <v>30</v>
      </c>
      <c r="J41" s="7">
        <v>685.4</v>
      </c>
      <c r="K41" s="379">
        <v>194635.59199626831</v>
      </c>
      <c r="L41" s="7">
        <v>4685486.2900200011</v>
      </c>
      <c r="M41" s="7"/>
      <c r="N41" s="135"/>
      <c r="O41" s="7"/>
      <c r="Q41" s="376">
        <f t="shared" si="1"/>
        <v>9902263.2218360975</v>
      </c>
      <c r="R41" s="7">
        <f t="shared" si="2"/>
        <v>694921.55516942963</v>
      </c>
      <c r="S41" s="139">
        <f t="shared" si="3"/>
        <v>7.5474722273558462E-2</v>
      </c>
      <c r="T41" s="139">
        <f t="shared" si="4"/>
        <v>7.5474722273558462E-2</v>
      </c>
      <c r="W41" s="263">
        <f>SUM(W31:W40)</f>
        <v>1079546801.3441427</v>
      </c>
      <c r="Y41" s="263">
        <f>SUM(Y31:Y40)</f>
        <v>1157212180.1264484</v>
      </c>
    </row>
    <row r="42" spans="1:27" ht="14.5">
      <c r="A42" s="2">
        <v>2013</v>
      </c>
      <c r="B42" s="2" t="s">
        <v>6</v>
      </c>
      <c r="C42" s="7">
        <v>8857473.3599999994</v>
      </c>
      <c r="D42" s="7">
        <v>33326.639999999999</v>
      </c>
      <c r="E42" s="7">
        <v>8890800</v>
      </c>
      <c r="F42" s="376">
        <f t="shared" si="0"/>
        <v>9087214.8906506468</v>
      </c>
      <c r="G42" s="15">
        <v>160.66666666666669</v>
      </c>
      <c r="H42" s="15">
        <v>18.7</v>
      </c>
      <c r="I42" s="2">
        <v>31</v>
      </c>
      <c r="J42" s="7">
        <v>690.3</v>
      </c>
      <c r="K42" s="379">
        <v>196414.890650646</v>
      </c>
      <c r="L42" s="7">
        <v>4795234.6969560003</v>
      </c>
      <c r="M42" s="7"/>
      <c r="N42" s="135"/>
      <c r="O42" s="7"/>
      <c r="Q42" s="376">
        <f t="shared" si="1"/>
        <v>9678321.4479786158</v>
      </c>
      <c r="R42" s="7">
        <f t="shared" si="2"/>
        <v>787521.44797861576</v>
      </c>
      <c r="S42" s="139">
        <f t="shared" si="3"/>
        <v>8.8577118817048606E-2</v>
      </c>
      <c r="T42" s="139">
        <f t="shared" si="4"/>
        <v>8.8577118817048606E-2</v>
      </c>
      <c r="Y42" s="140" t="s">
        <v>51</v>
      </c>
      <c r="Z42" s="222">
        <f>AVERAGE(AA31:AA40)</f>
        <v>7.1936022705442512E-2</v>
      </c>
    </row>
    <row r="43" spans="1:27" ht="14.5">
      <c r="A43" s="2">
        <v>2013</v>
      </c>
      <c r="B43" s="2" t="s">
        <v>7</v>
      </c>
      <c r="C43" s="7">
        <v>8508362.3833333347</v>
      </c>
      <c r="D43" s="7">
        <v>31145.950000000008</v>
      </c>
      <c r="E43" s="7">
        <v>8539508.333333334</v>
      </c>
      <c r="F43" s="376">
        <f t="shared" si="0"/>
        <v>8737702.5226383582</v>
      </c>
      <c r="G43" s="15">
        <v>67.399999999999991</v>
      </c>
      <c r="H43" s="15">
        <v>35.000000000000007</v>
      </c>
      <c r="I43" s="2">
        <v>30</v>
      </c>
      <c r="J43" s="7">
        <v>696.7</v>
      </c>
      <c r="K43" s="379">
        <v>198194.18930502373</v>
      </c>
      <c r="L43" s="7">
        <v>4516928.1643200004</v>
      </c>
      <c r="M43" s="7"/>
      <c r="N43" s="135"/>
      <c r="O43" s="7"/>
      <c r="Q43" s="376">
        <f t="shared" si="1"/>
        <v>9202582.5967705213</v>
      </c>
      <c r="R43" s="7">
        <f t="shared" si="2"/>
        <v>663074.2634371873</v>
      </c>
      <c r="S43" s="139">
        <f t="shared" si="3"/>
        <v>7.7647826731303299E-2</v>
      </c>
      <c r="T43" s="139">
        <f t="shared" si="4"/>
        <v>7.7647826731303299E-2</v>
      </c>
      <c r="Y43" s="140" t="s">
        <v>52</v>
      </c>
      <c r="Z43" s="222">
        <f>MEDIAN(AA31:AA40)</f>
        <v>6.8631578906945476E-2</v>
      </c>
    </row>
    <row r="44" spans="1:27" ht="14.5">
      <c r="A44" s="2">
        <v>2013</v>
      </c>
      <c r="B44" s="2" t="s">
        <v>8</v>
      </c>
      <c r="C44" s="7">
        <v>8783633.9766666684</v>
      </c>
      <c r="D44" s="7">
        <v>24907.69</v>
      </c>
      <c r="E44" s="7">
        <v>8808541.6666666679</v>
      </c>
      <c r="F44" s="376">
        <f t="shared" si="0"/>
        <v>9008515.1546260696</v>
      </c>
      <c r="G44" s="15">
        <v>19.599999999999998</v>
      </c>
      <c r="H44" s="15">
        <v>75.899999999999991</v>
      </c>
      <c r="I44" s="2">
        <v>31</v>
      </c>
      <c r="J44" s="7">
        <v>702.8</v>
      </c>
      <c r="K44" s="379">
        <v>199973.48795940142</v>
      </c>
      <c r="L44" s="7">
        <v>4372227.4551960006</v>
      </c>
      <c r="M44" s="7"/>
      <c r="N44" s="135"/>
      <c r="O44" s="7"/>
      <c r="Q44" s="376">
        <f t="shared" si="1"/>
        <v>9482009.1972890999</v>
      </c>
      <c r="R44" s="7">
        <f t="shared" si="2"/>
        <v>673467.53062243201</v>
      </c>
      <c r="S44" s="139">
        <f t="shared" si="3"/>
        <v>7.6456189470156172E-2</v>
      </c>
      <c r="T44" s="139">
        <f t="shared" si="4"/>
        <v>7.6456189470156172E-2</v>
      </c>
    </row>
    <row r="45" spans="1:27" ht="14.5">
      <c r="A45" s="2">
        <v>2013</v>
      </c>
      <c r="B45" s="2" t="s">
        <v>9</v>
      </c>
      <c r="C45" s="7">
        <v>8859770.6900000013</v>
      </c>
      <c r="D45" s="7">
        <v>30729.31</v>
      </c>
      <c r="E45" s="7">
        <v>8890500.0000000019</v>
      </c>
      <c r="F45" s="376">
        <f t="shared" si="0"/>
        <v>9092252.786613781</v>
      </c>
      <c r="G45" s="15">
        <v>33.9</v>
      </c>
      <c r="H45" s="15">
        <v>34.5</v>
      </c>
      <c r="I45" s="2">
        <v>31</v>
      </c>
      <c r="J45" s="7">
        <v>701.4</v>
      </c>
      <c r="K45" s="379">
        <v>201752.78661377911</v>
      </c>
      <c r="L45" s="7">
        <v>4771016.3547840007</v>
      </c>
      <c r="M45" s="7"/>
      <c r="N45" s="135"/>
      <c r="O45" s="7"/>
      <c r="Q45" s="376">
        <f t="shared" si="1"/>
        <v>9494949.3358634263</v>
      </c>
      <c r="R45" s="7">
        <f t="shared" si="2"/>
        <v>604449.33586342447</v>
      </c>
      <c r="S45" s="139">
        <f t="shared" si="3"/>
        <v>6.7988227418415648E-2</v>
      </c>
      <c r="T45" s="139">
        <f t="shared" si="4"/>
        <v>6.7988227418415648E-2</v>
      </c>
      <c r="V45" s="137" t="s">
        <v>0</v>
      </c>
      <c r="W45" s="137" t="s">
        <v>49</v>
      </c>
      <c r="X45" s="137" t="s">
        <v>53</v>
      </c>
      <c r="Y45" s="137" t="s">
        <v>50</v>
      </c>
      <c r="Z45" s="138" t="s">
        <v>67</v>
      </c>
    </row>
    <row r="46" spans="1:27" ht="14.5">
      <c r="A46" s="2">
        <v>2013</v>
      </c>
      <c r="B46" s="2" t="s">
        <v>10</v>
      </c>
      <c r="C46" s="7">
        <v>8499523.1166666653</v>
      </c>
      <c r="D46" s="7">
        <v>25518.55</v>
      </c>
      <c r="E46" s="7">
        <v>8525041.666666666</v>
      </c>
      <c r="F46" s="376">
        <f t="shared" si="0"/>
        <v>8728573.7519348226</v>
      </c>
      <c r="G46" s="15">
        <v>133.1</v>
      </c>
      <c r="H46" s="15">
        <v>17.2</v>
      </c>
      <c r="I46" s="2">
        <v>30</v>
      </c>
      <c r="J46" s="7">
        <v>698.4</v>
      </c>
      <c r="K46" s="379">
        <v>203532.08526815681</v>
      </c>
      <c r="L46" s="7">
        <v>4513364.5799520016</v>
      </c>
      <c r="M46" s="7"/>
      <c r="N46" s="135"/>
      <c r="O46" s="7"/>
      <c r="Q46" s="376">
        <f t="shared" si="1"/>
        <v>9188219.771035444</v>
      </c>
      <c r="R46" s="7">
        <f t="shared" si="2"/>
        <v>663178.10436877795</v>
      </c>
      <c r="S46" s="139">
        <f t="shared" si="3"/>
        <v>7.7791772791191982E-2</v>
      </c>
      <c r="T46" s="139">
        <f t="shared" si="4"/>
        <v>7.7791772791191982E-2</v>
      </c>
      <c r="V46" s="4">
        <v>2020</v>
      </c>
      <c r="Y46" s="352">
        <f>Q162</f>
        <v>110532497.46706991</v>
      </c>
      <c r="Z46" s="139">
        <f>(Y46-W40)/W40</f>
        <v>5.3547476416417883E-2</v>
      </c>
    </row>
    <row r="47" spans="1:27" ht="14.5">
      <c r="A47" s="2">
        <v>2013</v>
      </c>
      <c r="B47" s="2" t="s">
        <v>11</v>
      </c>
      <c r="C47" s="7">
        <v>9283300.746666668</v>
      </c>
      <c r="D47" s="7">
        <v>17140.919999999998</v>
      </c>
      <c r="E47" s="7">
        <v>9300441.6666666679</v>
      </c>
      <c r="F47" s="376">
        <f t="shared" si="0"/>
        <v>9505753.050589202</v>
      </c>
      <c r="G47" s="15">
        <v>270.68888888888893</v>
      </c>
      <c r="H47" s="15">
        <v>0</v>
      </c>
      <c r="I47" s="2">
        <v>31</v>
      </c>
      <c r="J47" s="7">
        <v>698.4</v>
      </c>
      <c r="K47" s="379">
        <v>205311.38392253453</v>
      </c>
      <c r="L47" s="7">
        <v>4880786.5687800003</v>
      </c>
      <c r="M47" s="7"/>
      <c r="N47" s="135"/>
      <c r="O47" s="7"/>
      <c r="Q47" s="376">
        <f t="shared" si="1"/>
        <v>9862263.8109232485</v>
      </c>
      <c r="R47" s="7">
        <f t="shared" si="2"/>
        <v>561822.14425658062</v>
      </c>
      <c r="S47" s="139">
        <f t="shared" si="3"/>
        <v>6.0408114409252665E-2</v>
      </c>
      <c r="T47" s="139">
        <f t="shared" si="4"/>
        <v>6.0408114409252665E-2</v>
      </c>
      <c r="V47" s="4">
        <v>2021</v>
      </c>
      <c r="Y47" s="352">
        <f>Q163</f>
        <v>111264402.16190396</v>
      </c>
      <c r="Z47" s="139">
        <f>(Y47-Y46)/Y46</f>
        <v>6.6216245141127311E-3</v>
      </c>
    </row>
    <row r="48" spans="1:27" ht="14.5">
      <c r="A48" s="2">
        <v>2013</v>
      </c>
      <c r="B48" s="2" t="s">
        <v>12</v>
      </c>
      <c r="C48" s="7">
        <v>9550087.7666666675</v>
      </c>
      <c r="D48" s="7">
        <v>8803.9</v>
      </c>
      <c r="E48" s="7">
        <v>9558891.6666666679</v>
      </c>
      <c r="F48" s="376">
        <f t="shared" si="0"/>
        <v>9765982.3492435794</v>
      </c>
      <c r="G48" s="15">
        <v>557.36666666666667</v>
      </c>
      <c r="H48" s="15">
        <v>0</v>
      </c>
      <c r="I48" s="2">
        <v>30</v>
      </c>
      <c r="J48" s="7">
        <v>700</v>
      </c>
      <c r="K48" s="379">
        <v>207090.68257691222</v>
      </c>
      <c r="L48" s="7">
        <v>4552412.9659799999</v>
      </c>
      <c r="M48" s="7"/>
      <c r="N48" s="135"/>
      <c r="O48" s="7"/>
      <c r="Q48" s="376">
        <f t="shared" si="1"/>
        <v>10147717.814794637</v>
      </c>
      <c r="R48" s="7">
        <f t="shared" si="2"/>
        <v>588826.14812796935</v>
      </c>
      <c r="S48" s="139">
        <f t="shared" si="3"/>
        <v>6.1599834861744182E-2</v>
      </c>
      <c r="T48" s="139">
        <f t="shared" si="4"/>
        <v>6.1599834861744182E-2</v>
      </c>
    </row>
    <row r="49" spans="1:30" ht="14.5">
      <c r="A49" s="2">
        <v>2013</v>
      </c>
      <c r="B49" s="2" t="s">
        <v>13</v>
      </c>
      <c r="C49" s="7">
        <v>9797816.666666666</v>
      </c>
      <c r="D49" s="7">
        <v>2246.8199999999997</v>
      </c>
      <c r="E49" s="7">
        <v>9800063.4866666663</v>
      </c>
      <c r="F49" s="376">
        <f t="shared" si="0"/>
        <v>10008933.467897955</v>
      </c>
      <c r="G49" s="15">
        <v>767.19999999999993</v>
      </c>
      <c r="H49" s="15">
        <v>0</v>
      </c>
      <c r="I49" s="2">
        <v>31</v>
      </c>
      <c r="J49" s="7">
        <v>695.4</v>
      </c>
      <c r="K49" s="379">
        <v>208869.98123128992</v>
      </c>
      <c r="L49" s="7">
        <v>4004842.5651600002</v>
      </c>
      <c r="M49" s="7"/>
      <c r="N49" s="135"/>
      <c r="O49" s="7"/>
      <c r="Q49" s="376">
        <f t="shared" si="1"/>
        <v>10265576.457033094</v>
      </c>
      <c r="R49" s="7">
        <f t="shared" si="2"/>
        <v>465512.97036642767</v>
      </c>
      <c r="S49" s="139">
        <f t="shared" si="3"/>
        <v>4.7501015784211453E-2</v>
      </c>
      <c r="T49" s="139">
        <f t="shared" si="4"/>
        <v>4.7501015784211453E-2</v>
      </c>
    </row>
    <row r="50" spans="1:30">
      <c r="A50" s="134">
        <v>2014</v>
      </c>
      <c r="B50" s="134" t="s">
        <v>2</v>
      </c>
      <c r="C50" s="7">
        <v>10797258.333333334</v>
      </c>
      <c r="D50" s="7">
        <v>2439.25</v>
      </c>
      <c r="E50" s="7">
        <v>10799697.583333334</v>
      </c>
      <c r="F50" s="376">
        <f t="shared" si="0"/>
        <v>11010775.048437918</v>
      </c>
      <c r="G50" s="15">
        <v>899.69999999999982</v>
      </c>
      <c r="H50" s="15">
        <v>0</v>
      </c>
      <c r="I50" s="2">
        <v>31</v>
      </c>
      <c r="J50" s="7">
        <v>689.4</v>
      </c>
      <c r="K50" s="379">
        <v>211077.46510458333</v>
      </c>
      <c r="L50" s="7">
        <v>4667489.5395720005</v>
      </c>
      <c r="M50" s="7"/>
      <c r="N50" s="135"/>
      <c r="O50" s="7"/>
      <c r="Q50" s="376">
        <f t="shared" si="1"/>
        <v>11266360.744519144</v>
      </c>
      <c r="R50" s="7">
        <f t="shared" si="2"/>
        <v>466663.16118581034</v>
      </c>
      <c r="S50" s="139">
        <f t="shared" si="3"/>
        <v>4.3210761929666407E-2</v>
      </c>
      <c r="T50" s="139">
        <f t="shared" si="4"/>
        <v>4.3210761929666407E-2</v>
      </c>
      <c r="V50" s="132"/>
      <c r="W50" s="132"/>
      <c r="X50" s="132"/>
      <c r="Y50" s="132"/>
      <c r="Z50" s="132"/>
      <c r="AA50" s="132"/>
      <c r="AB50" s="132"/>
      <c r="AC50" s="132"/>
      <c r="AD50" s="132"/>
    </row>
    <row r="51" spans="1:30">
      <c r="A51" s="2">
        <v>2014</v>
      </c>
      <c r="B51" s="2" t="s">
        <v>3</v>
      </c>
      <c r="C51" s="7">
        <v>9707875.0000000019</v>
      </c>
      <c r="D51" s="7">
        <v>2991.88</v>
      </c>
      <c r="E51" s="7">
        <v>9710866.8800000027</v>
      </c>
      <c r="F51" s="376">
        <f t="shared" si="0"/>
        <v>9924151.8289778791</v>
      </c>
      <c r="G51" s="15">
        <v>820.9666666666667</v>
      </c>
      <c r="H51" s="15">
        <v>0</v>
      </c>
      <c r="I51" s="2">
        <v>28</v>
      </c>
      <c r="J51" s="7">
        <v>682.3</v>
      </c>
      <c r="K51" s="379">
        <v>213284.94897787675</v>
      </c>
      <c r="L51" s="7">
        <v>4342400.5729440004</v>
      </c>
      <c r="M51" s="7"/>
      <c r="N51" s="135"/>
      <c r="O51" s="7"/>
      <c r="Q51" s="376">
        <f t="shared" si="1"/>
        <v>10353053.83094801</v>
      </c>
      <c r="R51" s="7">
        <f t="shared" si="2"/>
        <v>642186.9509480074</v>
      </c>
      <c r="S51" s="139">
        <f t="shared" si="3"/>
        <v>6.6130754224488678E-2</v>
      </c>
      <c r="T51" s="139">
        <f t="shared" si="4"/>
        <v>6.6130754224488678E-2</v>
      </c>
      <c r="V51" s="132"/>
      <c r="W51" s="132"/>
      <c r="X51" s="132"/>
      <c r="Y51" s="132"/>
      <c r="Z51" s="132"/>
      <c r="AA51" s="132"/>
      <c r="AB51" s="132"/>
      <c r="AC51" s="132"/>
      <c r="AD51" s="132"/>
    </row>
    <row r="52" spans="1:30">
      <c r="A52" s="2">
        <v>2014</v>
      </c>
      <c r="B52" s="2" t="s">
        <v>4</v>
      </c>
      <c r="C52" s="7">
        <v>10383525</v>
      </c>
      <c r="D52" s="7">
        <v>13924.2</v>
      </c>
      <c r="E52" s="7">
        <v>10397449.199999999</v>
      </c>
      <c r="F52" s="376">
        <f t="shared" si="0"/>
        <v>10612941.632851169</v>
      </c>
      <c r="G52" s="15">
        <v>767.15555555555545</v>
      </c>
      <c r="H52" s="15">
        <v>0</v>
      </c>
      <c r="I52" s="2">
        <v>31</v>
      </c>
      <c r="J52" s="7">
        <v>680.2</v>
      </c>
      <c r="K52" s="379">
        <v>215492.43285117013</v>
      </c>
      <c r="L52" s="7">
        <v>4788788.5728840008</v>
      </c>
      <c r="M52" s="7"/>
      <c r="N52" s="135"/>
      <c r="O52" s="7"/>
      <c r="Q52" s="376">
        <f t="shared" si="1"/>
        <v>11039913.121304762</v>
      </c>
      <c r="R52" s="7">
        <f t="shared" si="2"/>
        <v>642463.92130476236</v>
      </c>
      <c r="S52" s="139">
        <f t="shared" si="3"/>
        <v>6.1790532364876805E-2</v>
      </c>
      <c r="T52" s="139">
        <f t="shared" si="4"/>
        <v>6.1790532364876805E-2</v>
      </c>
      <c r="V52" s="132"/>
      <c r="W52" s="132"/>
      <c r="X52" s="132"/>
      <c r="Y52" s="132"/>
      <c r="Z52" s="132"/>
      <c r="AA52" s="132"/>
      <c r="AB52" s="132"/>
      <c r="AC52" s="132"/>
      <c r="AD52" s="132"/>
    </row>
    <row r="53" spans="1:30">
      <c r="A53" s="2">
        <v>2014</v>
      </c>
      <c r="B53" s="2" t="s">
        <v>5</v>
      </c>
      <c r="C53" s="7">
        <v>9160908.333333334</v>
      </c>
      <c r="D53" s="7">
        <v>25104.21</v>
      </c>
      <c r="E53" s="7">
        <v>9186012.5433333348</v>
      </c>
      <c r="F53" s="376">
        <f t="shared" si="0"/>
        <v>9403712.4600577988</v>
      </c>
      <c r="G53" s="15">
        <v>423.06666666666666</v>
      </c>
      <c r="H53" s="15">
        <v>0</v>
      </c>
      <c r="I53" s="2">
        <v>30</v>
      </c>
      <c r="J53" s="7">
        <v>679.4</v>
      </c>
      <c r="K53" s="379">
        <v>217699.91672446355</v>
      </c>
      <c r="L53" s="7">
        <v>4624196.0958720008</v>
      </c>
      <c r="M53" s="7"/>
      <c r="N53" s="135"/>
      <c r="O53" s="7"/>
      <c r="Q53" s="376">
        <f t="shared" si="1"/>
        <v>9860103.489618618</v>
      </c>
      <c r="R53" s="7">
        <f t="shared" si="2"/>
        <v>674090.94628528319</v>
      </c>
      <c r="S53" s="139">
        <f t="shared" si="3"/>
        <v>7.3382323734632673E-2</v>
      </c>
      <c r="T53" s="139">
        <f t="shared" si="4"/>
        <v>7.3382323734632673E-2</v>
      </c>
      <c r="V53" s="132"/>
      <c r="W53" s="132"/>
      <c r="X53" s="132"/>
      <c r="Y53" s="132"/>
      <c r="Z53" s="132"/>
      <c r="AA53" s="132"/>
      <c r="AB53" s="132"/>
      <c r="AC53" s="132"/>
      <c r="AD53" s="132"/>
    </row>
    <row r="54" spans="1:30">
      <c r="A54" s="2">
        <v>2014</v>
      </c>
      <c r="B54" s="2" t="s">
        <v>6</v>
      </c>
      <c r="C54" s="7">
        <v>8981769.2307692301</v>
      </c>
      <c r="D54" s="7">
        <v>32010.48</v>
      </c>
      <c r="E54" s="7">
        <v>9013779.7107692305</v>
      </c>
      <c r="F54" s="376">
        <f t="shared" si="0"/>
        <v>9233687.1113669872</v>
      </c>
      <c r="G54" s="15">
        <v>185.6</v>
      </c>
      <c r="H54" s="15">
        <v>7.6000000000000005</v>
      </c>
      <c r="I54" s="2">
        <v>31</v>
      </c>
      <c r="J54" s="7">
        <v>690</v>
      </c>
      <c r="K54" s="379">
        <v>219907.40059775696</v>
      </c>
      <c r="L54" s="7">
        <v>4967134.5322440006</v>
      </c>
      <c r="M54" s="7"/>
      <c r="N54" s="135"/>
      <c r="O54" s="7"/>
      <c r="Q54" s="376">
        <f t="shared" si="1"/>
        <v>9801257.8910384737</v>
      </c>
      <c r="R54" s="7">
        <f t="shared" si="2"/>
        <v>787478.1802692432</v>
      </c>
      <c r="S54" s="139">
        <f t="shared" si="3"/>
        <v>8.7363814685686422E-2</v>
      </c>
      <c r="T54" s="139">
        <f t="shared" si="4"/>
        <v>8.7363814685686422E-2</v>
      </c>
      <c r="V54" s="132"/>
      <c r="W54" s="132"/>
      <c r="X54" s="132"/>
      <c r="Y54" s="132"/>
      <c r="Z54" s="132"/>
      <c r="AA54" s="132"/>
      <c r="AB54" s="132"/>
      <c r="AC54" s="132"/>
      <c r="AD54" s="132"/>
    </row>
    <row r="55" spans="1:30">
      <c r="A55" s="2">
        <v>2014</v>
      </c>
      <c r="B55" s="2" t="s">
        <v>7</v>
      </c>
      <c r="C55" s="7">
        <v>8511153.846153846</v>
      </c>
      <c r="D55" s="7">
        <v>48616.92</v>
      </c>
      <c r="E55" s="7">
        <v>8559770.7661538459</v>
      </c>
      <c r="F55" s="376">
        <f t="shared" si="0"/>
        <v>8781885.6506248955</v>
      </c>
      <c r="G55" s="15">
        <v>35.999999999999993</v>
      </c>
      <c r="H55" s="15">
        <v>44</v>
      </c>
      <c r="I55" s="2">
        <v>30</v>
      </c>
      <c r="J55" s="7">
        <v>704.4</v>
      </c>
      <c r="K55" s="379">
        <v>222114.88447105035</v>
      </c>
      <c r="L55" s="7">
        <v>4578201.0414120005</v>
      </c>
      <c r="M55" s="7"/>
      <c r="N55" s="135"/>
      <c r="O55" s="7"/>
      <c r="Q55" s="376">
        <f t="shared" si="1"/>
        <v>9279356.2434994876</v>
      </c>
      <c r="R55" s="7">
        <f t="shared" si="2"/>
        <v>719585.4773456417</v>
      </c>
      <c r="S55" s="139">
        <f t="shared" si="3"/>
        <v>8.4065975246784844E-2</v>
      </c>
      <c r="T55" s="139">
        <f t="shared" si="4"/>
        <v>8.4065975246784844E-2</v>
      </c>
      <c r="V55" s="132"/>
      <c r="W55" s="132"/>
      <c r="X55" s="132"/>
      <c r="Y55" s="132"/>
      <c r="Z55" s="132"/>
      <c r="AA55" s="132"/>
      <c r="AB55" s="132"/>
      <c r="AC55" s="132"/>
      <c r="AD55" s="132"/>
    </row>
    <row r="56" spans="1:30">
      <c r="A56" s="2">
        <v>2014</v>
      </c>
      <c r="B56" s="2" t="s">
        <v>8</v>
      </c>
      <c r="C56" s="7">
        <v>8491076.9230769239</v>
      </c>
      <c r="D56" s="7">
        <v>52243.009999999995</v>
      </c>
      <c r="E56" s="7">
        <v>8543319.9330769237</v>
      </c>
      <c r="F56" s="376">
        <f t="shared" si="0"/>
        <v>8767642.3014212679</v>
      </c>
      <c r="G56" s="15">
        <v>59.100000000000009</v>
      </c>
      <c r="H56" s="15">
        <v>25.700000000000003</v>
      </c>
      <c r="I56" s="2">
        <v>31</v>
      </c>
      <c r="J56" s="7">
        <v>715.1</v>
      </c>
      <c r="K56" s="379">
        <v>224322.36834434376</v>
      </c>
      <c r="L56" s="7">
        <v>4518532.7781600012</v>
      </c>
      <c r="M56" s="7"/>
      <c r="N56" s="135"/>
      <c r="O56" s="7"/>
      <c r="Q56" s="376">
        <f t="shared" si="1"/>
        <v>9226372.8602590971</v>
      </c>
      <c r="R56" s="7">
        <f t="shared" si="2"/>
        <v>683052.92718217336</v>
      </c>
      <c r="S56" s="139">
        <f t="shared" si="3"/>
        <v>7.9951697060719584E-2</v>
      </c>
      <c r="T56" s="139">
        <f t="shared" si="4"/>
        <v>7.9951697060719584E-2</v>
      </c>
      <c r="V56" s="132"/>
      <c r="W56" s="132"/>
      <c r="X56" s="132"/>
      <c r="Y56" s="132"/>
      <c r="Z56" s="132"/>
      <c r="AA56" s="132"/>
      <c r="AB56" s="132"/>
      <c r="AC56" s="132"/>
      <c r="AD56" s="132"/>
    </row>
    <row r="57" spans="1:30">
      <c r="A57" s="2">
        <v>2014</v>
      </c>
      <c r="B57" s="2" t="s">
        <v>9</v>
      </c>
      <c r="C57" s="7">
        <v>8875484.615384616</v>
      </c>
      <c r="D57" s="7">
        <v>46971.21</v>
      </c>
      <c r="E57" s="7">
        <v>8922455.8253846169</v>
      </c>
      <c r="F57" s="376">
        <f t="shared" si="0"/>
        <v>9148985.6776022539</v>
      </c>
      <c r="G57" s="15">
        <v>40.5</v>
      </c>
      <c r="H57" s="15">
        <v>32.400000000000006</v>
      </c>
      <c r="I57" s="2">
        <v>31</v>
      </c>
      <c r="J57" s="7">
        <v>718.7</v>
      </c>
      <c r="K57" s="379">
        <v>226529.85221763718</v>
      </c>
      <c r="L57" s="7">
        <v>4873161.1167599997</v>
      </c>
      <c r="M57" s="7"/>
      <c r="N57" s="135"/>
      <c r="O57" s="7"/>
      <c r="Q57" s="376">
        <f t="shared" si="1"/>
        <v>9603530.9724630453</v>
      </c>
      <c r="R57" s="7">
        <f t="shared" si="2"/>
        <v>681075.14707842842</v>
      </c>
      <c r="S57" s="139">
        <f t="shared" si="3"/>
        <v>7.6332700369415349E-2</v>
      </c>
      <c r="T57" s="139">
        <f t="shared" si="4"/>
        <v>7.6332700369415349E-2</v>
      </c>
      <c r="V57" s="132"/>
      <c r="W57" s="132"/>
      <c r="X57" s="132"/>
      <c r="Y57" s="132"/>
      <c r="Z57" s="132"/>
      <c r="AA57" s="132"/>
      <c r="AB57" s="132"/>
      <c r="AC57" s="132"/>
      <c r="AD57" s="132"/>
    </row>
    <row r="58" spans="1:30">
      <c r="A58" s="2">
        <v>2014</v>
      </c>
      <c r="B58" s="2" t="s">
        <v>10</v>
      </c>
      <c r="C58" s="7">
        <v>8841092.307692308</v>
      </c>
      <c r="D58" s="7">
        <v>39980.21</v>
      </c>
      <c r="E58" s="7">
        <v>8881072.5176923089</v>
      </c>
      <c r="F58" s="376">
        <f t="shared" si="0"/>
        <v>9109809.8537832387</v>
      </c>
      <c r="G58" s="15">
        <v>117.19999999999999</v>
      </c>
      <c r="H58" s="15">
        <v>12.399999999999999</v>
      </c>
      <c r="I58" s="2">
        <v>30</v>
      </c>
      <c r="J58" s="7">
        <v>719.3</v>
      </c>
      <c r="K58" s="379">
        <v>228737.33609093056</v>
      </c>
      <c r="L58" s="7">
        <v>4845022.72248</v>
      </c>
      <c r="M58" s="7"/>
      <c r="N58" s="135"/>
      <c r="O58" s="7"/>
      <c r="Q58" s="376">
        <f t="shared" si="1"/>
        <v>9442994.1513542831</v>
      </c>
      <c r="R58" s="7">
        <f t="shared" si="2"/>
        <v>561921.63366197422</v>
      </c>
      <c r="S58" s="139">
        <f t="shared" si="3"/>
        <v>6.3271821341684756E-2</v>
      </c>
      <c r="T58" s="139">
        <f t="shared" si="4"/>
        <v>6.3271821341684756E-2</v>
      </c>
      <c r="V58" s="132"/>
      <c r="W58" s="132"/>
      <c r="X58" s="132"/>
      <c r="Y58" s="132"/>
      <c r="Z58" s="132"/>
      <c r="AA58" s="132"/>
      <c r="AB58" s="132"/>
      <c r="AC58" s="132"/>
      <c r="AD58" s="132"/>
    </row>
    <row r="59" spans="1:30">
      <c r="A59" s="2">
        <v>2014</v>
      </c>
      <c r="B59" s="2" t="s">
        <v>11</v>
      </c>
      <c r="C59" s="7">
        <v>9370961.538461538</v>
      </c>
      <c r="D59" s="7">
        <v>20845.66</v>
      </c>
      <c r="E59" s="7">
        <v>9391807.1984615382</v>
      </c>
      <c r="F59" s="376">
        <f t="shared" si="0"/>
        <v>9622752.0184257627</v>
      </c>
      <c r="G59" s="15">
        <v>292.40000000000003</v>
      </c>
      <c r="H59" s="15">
        <v>0</v>
      </c>
      <c r="I59" s="2">
        <v>31</v>
      </c>
      <c r="J59" s="7">
        <v>723.5</v>
      </c>
      <c r="K59" s="379">
        <v>230944.81996422398</v>
      </c>
      <c r="L59" s="7">
        <v>4964576.7409200007</v>
      </c>
      <c r="M59" s="7"/>
      <c r="N59" s="135"/>
      <c r="O59" s="7"/>
      <c r="Q59" s="376">
        <f t="shared" si="1"/>
        <v>10017753.108873282</v>
      </c>
      <c r="R59" s="7">
        <f t="shared" si="2"/>
        <v>625945.91041174345</v>
      </c>
      <c r="S59" s="139">
        <f t="shared" si="3"/>
        <v>6.6648079244458827E-2</v>
      </c>
      <c r="T59" s="139">
        <f t="shared" si="4"/>
        <v>6.6648079244458827E-2</v>
      </c>
      <c r="V59" s="132"/>
      <c r="W59" s="132"/>
      <c r="X59" s="132"/>
      <c r="Y59" s="132"/>
      <c r="Z59" s="132"/>
      <c r="AA59" s="132"/>
      <c r="AB59" s="132"/>
      <c r="AC59" s="132"/>
      <c r="AD59" s="132"/>
    </row>
    <row r="60" spans="1:30">
      <c r="A60" s="2">
        <v>2014</v>
      </c>
      <c r="B60" s="2" t="s">
        <v>12</v>
      </c>
      <c r="C60" s="7">
        <v>9361692.307692308</v>
      </c>
      <c r="D60" s="7">
        <v>7638.39</v>
      </c>
      <c r="E60" s="7">
        <v>9369330.6976923086</v>
      </c>
      <c r="F60" s="376">
        <f t="shared" si="0"/>
        <v>9602483.0015298259</v>
      </c>
      <c r="G60" s="15">
        <v>548.06666666666661</v>
      </c>
      <c r="H60" s="15">
        <v>0</v>
      </c>
      <c r="I60" s="2">
        <v>30</v>
      </c>
      <c r="J60" s="7">
        <v>721</v>
      </c>
      <c r="K60" s="379">
        <v>233152.30383751736</v>
      </c>
      <c r="L60" s="7">
        <v>4377795.0494400002</v>
      </c>
      <c r="M60" s="7"/>
      <c r="N60" s="135"/>
      <c r="O60" s="7"/>
      <c r="Q60" s="376">
        <f t="shared" si="1"/>
        <v>9962221.0563550852</v>
      </c>
      <c r="R60" s="7">
        <f t="shared" si="2"/>
        <v>592890.35866277665</v>
      </c>
      <c r="S60" s="139">
        <f t="shared" si="3"/>
        <v>6.3279905234725806E-2</v>
      </c>
      <c r="T60" s="139">
        <f t="shared" si="4"/>
        <v>6.3279905234725806E-2</v>
      </c>
      <c r="V60" s="132"/>
      <c r="W60" s="132"/>
      <c r="X60" s="132"/>
      <c r="Y60" s="132"/>
      <c r="Z60" s="132"/>
      <c r="AA60" s="132"/>
      <c r="AB60" s="132"/>
      <c r="AC60" s="132"/>
      <c r="AD60" s="132"/>
    </row>
    <row r="61" spans="1:30">
      <c r="A61" s="2">
        <v>2014</v>
      </c>
      <c r="B61" s="2" t="s">
        <v>13</v>
      </c>
      <c r="C61" s="7">
        <v>9419200</v>
      </c>
      <c r="D61" s="7">
        <v>8281.8599999999988</v>
      </c>
      <c r="E61" s="7">
        <v>9427481.8599999994</v>
      </c>
      <c r="F61" s="376">
        <f t="shared" si="0"/>
        <v>9662841.6477108095</v>
      </c>
      <c r="G61" s="15">
        <v>623.73333333333346</v>
      </c>
      <c r="H61" s="15">
        <v>0</v>
      </c>
      <c r="I61" s="2">
        <v>31</v>
      </c>
      <c r="J61" s="7">
        <v>714.3</v>
      </c>
      <c r="K61" s="379">
        <v>235359.78771081078</v>
      </c>
      <c r="L61" s="7">
        <v>3953464.1673599998</v>
      </c>
      <c r="M61" s="7"/>
      <c r="N61" s="135"/>
      <c r="O61" s="7"/>
      <c r="Q61" s="376">
        <f t="shared" si="1"/>
        <v>9855821.8044084758</v>
      </c>
      <c r="R61" s="7">
        <f t="shared" si="2"/>
        <v>428339.94440847635</v>
      </c>
      <c r="S61" s="139">
        <f t="shared" si="3"/>
        <v>4.5435244614565225E-2</v>
      </c>
      <c r="T61" s="139">
        <f t="shared" si="4"/>
        <v>4.5435244614565225E-2</v>
      </c>
      <c r="V61" s="132"/>
      <c r="W61" s="132"/>
      <c r="X61" s="132"/>
      <c r="Y61" s="132"/>
      <c r="Z61" s="132"/>
      <c r="AA61" s="132"/>
      <c r="AB61" s="132"/>
      <c r="AC61" s="132"/>
      <c r="AD61" s="132"/>
    </row>
    <row r="62" spans="1:30">
      <c r="A62" s="134">
        <v>2015</v>
      </c>
      <c r="B62" s="134" t="s">
        <v>2</v>
      </c>
      <c r="C62" s="7">
        <v>10452784.615384616</v>
      </c>
      <c r="D62" s="7">
        <v>7604.7199999999993</v>
      </c>
      <c r="E62" s="7">
        <v>10460389.335384617</v>
      </c>
      <c r="F62" s="376">
        <f t="shared" si="0"/>
        <v>10699711.276908286</v>
      </c>
      <c r="G62" s="15">
        <v>871.19999999999993</v>
      </c>
      <c r="H62" s="15">
        <v>0</v>
      </c>
      <c r="I62" s="2">
        <v>31</v>
      </c>
      <c r="J62" s="7">
        <v>705.7</v>
      </c>
      <c r="K62" s="379">
        <v>239321.94152366903</v>
      </c>
      <c r="L62" s="7">
        <v>4513683.0380400009</v>
      </c>
      <c r="M62" s="7"/>
      <c r="N62" s="135"/>
      <c r="O62" s="7"/>
      <c r="Q62" s="376">
        <f t="shared" si="1"/>
        <v>11049198.449018735</v>
      </c>
      <c r="R62" s="7">
        <f t="shared" si="2"/>
        <v>588809.11363411881</v>
      </c>
      <c r="S62" s="139">
        <f t="shared" si="3"/>
        <v>5.6289407091410996E-2</v>
      </c>
      <c r="T62" s="139">
        <f t="shared" si="4"/>
        <v>5.6289407091410996E-2</v>
      </c>
      <c r="V62" s="132"/>
      <c r="W62" s="132"/>
      <c r="X62" s="132"/>
      <c r="Y62" s="132"/>
      <c r="Z62" s="132"/>
      <c r="AA62" s="132"/>
      <c r="AB62" s="132"/>
      <c r="AC62" s="132"/>
      <c r="AD62" s="132"/>
    </row>
    <row r="63" spans="1:30">
      <c r="A63" s="2">
        <v>2015</v>
      </c>
      <c r="B63" s="2" t="s">
        <v>3</v>
      </c>
      <c r="C63" s="7">
        <v>9960700</v>
      </c>
      <c r="D63" s="7">
        <v>6503.2999999999993</v>
      </c>
      <c r="E63" s="7">
        <v>9967203.3000000007</v>
      </c>
      <c r="F63" s="376">
        <f t="shared" si="0"/>
        <v>10210487.395336527</v>
      </c>
      <c r="G63" s="15">
        <v>928.1</v>
      </c>
      <c r="H63" s="15">
        <v>0</v>
      </c>
      <c r="I63" s="2">
        <v>28</v>
      </c>
      <c r="J63" s="7">
        <v>700.1</v>
      </c>
      <c r="K63" s="379">
        <v>243284.09533652724</v>
      </c>
      <c r="L63" s="7">
        <v>4307574.8160000006</v>
      </c>
      <c r="M63" s="7"/>
      <c r="N63" s="135"/>
      <c r="O63" s="7"/>
      <c r="Q63" s="376">
        <f t="shared" si="1"/>
        <v>10605779.29326801</v>
      </c>
      <c r="R63" s="7">
        <f t="shared" si="2"/>
        <v>638575.99326800928</v>
      </c>
      <c r="S63" s="139">
        <f t="shared" si="3"/>
        <v>6.4067720307060386E-2</v>
      </c>
      <c r="T63" s="139">
        <f t="shared" si="4"/>
        <v>6.4067720307060386E-2</v>
      </c>
      <c r="V63" s="132"/>
      <c r="W63" s="132"/>
      <c r="X63" s="132"/>
      <c r="Y63" s="132"/>
      <c r="Z63" s="132"/>
      <c r="AA63" s="132"/>
      <c r="AB63" s="132"/>
      <c r="AC63" s="132"/>
      <c r="AD63" s="132"/>
    </row>
    <row r="64" spans="1:30">
      <c r="A64" s="2">
        <v>2015</v>
      </c>
      <c r="B64" s="2" t="s">
        <v>4</v>
      </c>
      <c r="C64" s="7">
        <v>10261984.615384616</v>
      </c>
      <c r="D64" s="7">
        <v>37781.33</v>
      </c>
      <c r="E64" s="7">
        <v>10299765.945384616</v>
      </c>
      <c r="F64" s="376">
        <f t="shared" si="0"/>
        <v>10547012.194534002</v>
      </c>
      <c r="G64" s="15">
        <v>701.5</v>
      </c>
      <c r="H64" s="15">
        <v>0</v>
      </c>
      <c r="I64" s="2">
        <v>31</v>
      </c>
      <c r="J64" s="7">
        <v>698.3</v>
      </c>
      <c r="K64" s="379">
        <v>247246.24914938549</v>
      </c>
      <c r="L64" s="7">
        <v>4884586.8374400008</v>
      </c>
      <c r="M64" s="7"/>
      <c r="N64" s="135"/>
      <c r="O64" s="7"/>
      <c r="Q64" s="376">
        <f t="shared" si="1"/>
        <v>10977608.754017772</v>
      </c>
      <c r="R64" s="7">
        <f t="shared" si="2"/>
        <v>677842.80863315612</v>
      </c>
      <c r="S64" s="139">
        <f t="shared" si="3"/>
        <v>6.5811476904181626E-2</v>
      </c>
      <c r="T64" s="139">
        <f t="shared" si="4"/>
        <v>6.5811476904181626E-2</v>
      </c>
      <c r="V64" s="132"/>
      <c r="W64" s="132"/>
      <c r="X64" s="132"/>
      <c r="Y64" s="132"/>
      <c r="Z64" s="132"/>
      <c r="AA64" s="132"/>
      <c r="AB64" s="132"/>
      <c r="AC64" s="132"/>
      <c r="AD64" s="132"/>
    </row>
    <row r="65" spans="1:30">
      <c r="A65" s="2">
        <v>2015</v>
      </c>
      <c r="B65" s="2" t="s">
        <v>5</v>
      </c>
      <c r="C65" s="7">
        <v>9023638.461538462</v>
      </c>
      <c r="D65" s="7">
        <v>41389.949999999997</v>
      </c>
      <c r="E65" s="7">
        <v>9065028.4115384612</v>
      </c>
      <c r="F65" s="376">
        <f t="shared" si="0"/>
        <v>9316236.8145007044</v>
      </c>
      <c r="G65" s="15">
        <v>382.84999999999997</v>
      </c>
      <c r="H65" s="15">
        <v>0</v>
      </c>
      <c r="I65" s="2">
        <v>30</v>
      </c>
      <c r="J65" s="7">
        <v>697.6</v>
      </c>
      <c r="K65" s="379">
        <v>251208.40296224374</v>
      </c>
      <c r="L65" s="7">
        <v>4732559.1597600011</v>
      </c>
      <c r="M65" s="7"/>
      <c r="N65" s="135"/>
      <c r="O65" s="7"/>
      <c r="Q65" s="376">
        <f t="shared" si="1"/>
        <v>9876065.4793744478</v>
      </c>
      <c r="R65" s="7">
        <f t="shared" si="2"/>
        <v>811037.06783598661</v>
      </c>
      <c r="S65" s="139">
        <f t="shared" si="3"/>
        <v>8.9468783881984801E-2</v>
      </c>
      <c r="T65" s="139">
        <f t="shared" si="4"/>
        <v>8.9468783881984801E-2</v>
      </c>
      <c r="V65" s="132"/>
      <c r="W65" s="132"/>
      <c r="X65" s="132"/>
      <c r="Y65" s="132"/>
      <c r="Z65" s="132"/>
      <c r="AA65" s="132"/>
      <c r="AB65" s="132"/>
      <c r="AC65" s="132"/>
      <c r="AD65" s="132"/>
    </row>
    <row r="66" spans="1:30">
      <c r="A66" s="2">
        <v>2015</v>
      </c>
      <c r="B66" s="2" t="s">
        <v>6</v>
      </c>
      <c r="C66" s="7">
        <v>8928853.846153846</v>
      </c>
      <c r="D66" s="7">
        <v>51651.619999999995</v>
      </c>
      <c r="E66" s="7">
        <v>8980505.4661538452</v>
      </c>
      <c r="F66" s="376">
        <f t="shared" si="0"/>
        <v>9235676.0229289476</v>
      </c>
      <c r="G66" s="15">
        <v>135.30000000000001</v>
      </c>
      <c r="H66" s="15">
        <v>23.4</v>
      </c>
      <c r="I66" s="2">
        <v>31</v>
      </c>
      <c r="J66" s="7">
        <v>704.9</v>
      </c>
      <c r="K66" s="379">
        <v>255170.55677510196</v>
      </c>
      <c r="L66" s="7">
        <v>5023122.8568000002</v>
      </c>
      <c r="M66" s="7"/>
      <c r="N66" s="135"/>
      <c r="O66" s="7"/>
      <c r="Q66" s="376">
        <f t="shared" si="1"/>
        <v>9897770.4301814493</v>
      </c>
      <c r="R66" s="7">
        <f t="shared" si="2"/>
        <v>917264.96402760409</v>
      </c>
      <c r="S66" s="139">
        <f t="shared" si="3"/>
        <v>0.10213956970291213</v>
      </c>
      <c r="T66" s="139">
        <f t="shared" si="4"/>
        <v>0.10213956970291213</v>
      </c>
      <c r="V66" s="132"/>
      <c r="W66" s="132"/>
      <c r="X66" s="132"/>
      <c r="Y66" s="132"/>
      <c r="Z66" s="132"/>
      <c r="AA66" s="132"/>
      <c r="AB66" s="132"/>
      <c r="AC66" s="132"/>
      <c r="AD66" s="132"/>
    </row>
    <row r="67" spans="1:30">
      <c r="A67" s="2">
        <v>2015</v>
      </c>
      <c r="B67" s="2" t="s">
        <v>7</v>
      </c>
      <c r="C67" s="7">
        <v>8756484.615384616</v>
      </c>
      <c r="D67" s="7">
        <v>49234.899999999994</v>
      </c>
      <c r="E67" s="7">
        <v>8805719.5153846163</v>
      </c>
      <c r="F67" s="376">
        <f t="shared" ref="F67:F121" si="8">E67+K67</f>
        <v>9064852.2259725761</v>
      </c>
      <c r="G67" s="15">
        <v>59.199999999999996</v>
      </c>
      <c r="H67" s="15">
        <v>5.7</v>
      </c>
      <c r="I67" s="2">
        <v>30</v>
      </c>
      <c r="J67" s="7">
        <v>715.1</v>
      </c>
      <c r="K67" s="379">
        <v>259132.7105879602</v>
      </c>
      <c r="L67" s="7">
        <v>4909277.7873600004</v>
      </c>
      <c r="M67" s="7"/>
      <c r="N67" s="135"/>
      <c r="O67" s="7"/>
      <c r="Q67" s="376">
        <f t="shared" ref="Q67:Q130" si="9">$W$17+$W$18*G67+$W$19*H67+$W$20*I67+$W$21*J67+$W$22+L67</f>
        <v>9286696.2995086797</v>
      </c>
      <c r="R67" s="7">
        <f t="shared" ref="R67:R121" si="10">Q67-E67</f>
        <v>480976.78412406333</v>
      </c>
      <c r="S67" s="139">
        <f t="shared" ref="S67:S121" si="11">R67/E67</f>
        <v>5.4620952130458041E-2</v>
      </c>
      <c r="T67" s="139">
        <f t="shared" ref="T67:T121" si="12">ABS(S67)</f>
        <v>5.4620952130458041E-2</v>
      </c>
      <c r="V67" s="132"/>
      <c r="W67" s="132"/>
      <c r="X67" s="132"/>
      <c r="Y67" s="132"/>
      <c r="Z67" s="132"/>
      <c r="AA67" s="132"/>
      <c r="AB67" s="132"/>
      <c r="AC67" s="132"/>
      <c r="AD67" s="132"/>
    </row>
    <row r="68" spans="1:30">
      <c r="A68" s="2">
        <v>2015</v>
      </c>
      <c r="B68" s="2" t="s">
        <v>8</v>
      </c>
      <c r="C68" s="7">
        <v>9022484.615384616</v>
      </c>
      <c r="D68" s="7">
        <v>56401.829999999994</v>
      </c>
      <c r="E68" s="7">
        <v>9078886.445384616</v>
      </c>
      <c r="F68" s="376">
        <f t="shared" si="8"/>
        <v>9341981.309785435</v>
      </c>
      <c r="G68" s="15">
        <v>31.3</v>
      </c>
      <c r="H68" s="15">
        <v>43.4</v>
      </c>
      <c r="I68" s="2">
        <v>31</v>
      </c>
      <c r="J68" s="7">
        <v>716.6</v>
      </c>
      <c r="K68" s="379">
        <v>263094.86440081842</v>
      </c>
      <c r="L68" s="7">
        <v>4834398.45144</v>
      </c>
      <c r="M68" s="7"/>
      <c r="N68" s="135"/>
      <c r="O68" s="7"/>
      <c r="Q68" s="376">
        <f t="shared" si="9"/>
        <v>9651809.7076962646</v>
      </c>
      <c r="R68" s="7">
        <f t="shared" si="10"/>
        <v>572923.26231164858</v>
      </c>
      <c r="S68" s="139">
        <f t="shared" si="11"/>
        <v>6.310501466872101E-2</v>
      </c>
      <c r="T68" s="139">
        <f t="shared" si="12"/>
        <v>6.310501466872101E-2</v>
      </c>
      <c r="V68" s="132"/>
      <c r="W68" s="132"/>
      <c r="X68" s="132"/>
      <c r="Y68" s="132"/>
      <c r="Z68" s="132"/>
      <c r="AA68" s="132"/>
      <c r="AB68" s="132"/>
      <c r="AC68" s="132"/>
      <c r="AD68" s="132"/>
    </row>
    <row r="69" spans="1:30">
      <c r="A69" s="2">
        <v>2015</v>
      </c>
      <c r="B69" s="2" t="s">
        <v>9</v>
      </c>
      <c r="C69" s="7">
        <v>9116284.615384616</v>
      </c>
      <c r="D69" s="7">
        <v>45640.929999999993</v>
      </c>
      <c r="E69" s="7">
        <v>9161925.5453846157</v>
      </c>
      <c r="F69" s="376">
        <f t="shared" si="8"/>
        <v>9428982.5635982919</v>
      </c>
      <c r="G69" s="15">
        <v>35</v>
      </c>
      <c r="H69" s="15">
        <v>38.1</v>
      </c>
      <c r="I69" s="2">
        <v>31</v>
      </c>
      <c r="J69" s="7">
        <v>713.1</v>
      </c>
      <c r="K69" s="379">
        <v>267057.0182136767</v>
      </c>
      <c r="L69" s="7">
        <v>5059556.1852000002</v>
      </c>
      <c r="M69" s="7"/>
      <c r="N69" s="135"/>
      <c r="O69" s="7"/>
      <c r="Q69" s="376">
        <f t="shared" si="9"/>
        <v>9830320.3782713227</v>
      </c>
      <c r="R69" s="7">
        <f t="shared" si="10"/>
        <v>668394.83288670704</v>
      </c>
      <c r="S69" s="139">
        <f t="shared" si="11"/>
        <v>7.2953532483508957E-2</v>
      </c>
      <c r="T69" s="139">
        <f t="shared" si="12"/>
        <v>7.2953532483508957E-2</v>
      </c>
      <c r="V69" s="132"/>
      <c r="W69" s="132"/>
      <c r="X69" s="132"/>
      <c r="Y69" s="132"/>
      <c r="Z69" s="132"/>
      <c r="AA69" s="132"/>
      <c r="AB69" s="132"/>
      <c r="AC69" s="132"/>
      <c r="AD69" s="132"/>
    </row>
    <row r="70" spans="1:30">
      <c r="A70" s="2">
        <v>2015</v>
      </c>
      <c r="B70" s="2" t="s">
        <v>10</v>
      </c>
      <c r="C70" s="7">
        <v>9141307.6923076939</v>
      </c>
      <c r="D70" s="7">
        <v>41373.15</v>
      </c>
      <c r="E70" s="7">
        <v>9182680.8423076943</v>
      </c>
      <c r="F70" s="376">
        <f t="shared" si="8"/>
        <v>9453700.0143342298</v>
      </c>
      <c r="G70" s="15">
        <v>58</v>
      </c>
      <c r="H70" s="15">
        <v>47.449999999999996</v>
      </c>
      <c r="I70" s="2">
        <v>30</v>
      </c>
      <c r="J70" s="7">
        <v>710.2</v>
      </c>
      <c r="K70" s="379">
        <v>271019.17202653491</v>
      </c>
      <c r="L70" s="7">
        <v>5022140.1996000009</v>
      </c>
      <c r="M70" s="7"/>
      <c r="N70" s="135"/>
      <c r="O70" s="7"/>
      <c r="Q70" s="376">
        <f t="shared" si="9"/>
        <v>9818840.2160117589</v>
      </c>
      <c r="R70" s="7">
        <f t="shared" si="10"/>
        <v>636159.37370406464</v>
      </c>
      <c r="S70" s="139">
        <f t="shared" si="11"/>
        <v>6.9278175363894259E-2</v>
      </c>
      <c r="T70" s="139">
        <f t="shared" si="12"/>
        <v>6.9278175363894259E-2</v>
      </c>
      <c r="V70" s="132"/>
      <c r="W70" s="132"/>
      <c r="X70" s="132"/>
      <c r="Y70" s="132"/>
      <c r="Z70" s="132"/>
      <c r="AA70" s="132"/>
      <c r="AB70" s="132"/>
      <c r="AC70" s="132"/>
      <c r="AD70" s="132"/>
    </row>
    <row r="71" spans="1:30">
      <c r="A71" s="2">
        <v>2015</v>
      </c>
      <c r="B71" s="2" t="s">
        <v>11</v>
      </c>
      <c r="C71" s="7">
        <v>9198407.6923076939</v>
      </c>
      <c r="D71" s="7">
        <v>26679.100000000002</v>
      </c>
      <c r="E71" s="7">
        <v>9225086.7923076935</v>
      </c>
      <c r="F71" s="376">
        <f t="shared" si="8"/>
        <v>9500068.1181470864</v>
      </c>
      <c r="G71" s="15">
        <v>310.5</v>
      </c>
      <c r="H71" s="15">
        <v>0</v>
      </c>
      <c r="I71" s="2">
        <v>31</v>
      </c>
      <c r="J71" s="7">
        <v>716.9</v>
      </c>
      <c r="K71" s="379">
        <v>274981.32583939313</v>
      </c>
      <c r="L71" s="7">
        <v>4871537.3212800017</v>
      </c>
      <c r="M71" s="7"/>
      <c r="N71" s="135"/>
      <c r="O71" s="7"/>
      <c r="Q71" s="376">
        <f t="shared" si="9"/>
        <v>9967293.8151854686</v>
      </c>
      <c r="R71" s="7">
        <f t="shared" si="10"/>
        <v>742207.02287777513</v>
      </c>
      <c r="S71" s="139">
        <f t="shared" si="11"/>
        <v>8.0455288886459239E-2</v>
      </c>
      <c r="T71" s="139">
        <f t="shared" si="12"/>
        <v>8.0455288886459239E-2</v>
      </c>
      <c r="V71" s="132"/>
      <c r="W71" s="132"/>
      <c r="X71" s="132"/>
      <c r="Y71" s="132"/>
      <c r="Z71" s="132"/>
      <c r="AA71" s="132"/>
      <c r="AB71" s="132"/>
      <c r="AC71" s="132"/>
      <c r="AD71" s="132"/>
    </row>
    <row r="72" spans="1:30">
      <c r="A72" s="2">
        <v>2015</v>
      </c>
      <c r="B72" s="2" t="s">
        <v>12</v>
      </c>
      <c r="C72" s="7">
        <v>8993830.7692307699</v>
      </c>
      <c r="D72" s="7">
        <v>15988.89</v>
      </c>
      <c r="E72" s="7">
        <v>9009819.6592307705</v>
      </c>
      <c r="F72" s="376">
        <f t="shared" si="8"/>
        <v>9288763.1388830226</v>
      </c>
      <c r="G72" s="15">
        <v>387.09999999999997</v>
      </c>
      <c r="H72" s="15">
        <v>0</v>
      </c>
      <c r="I72" s="2">
        <v>30</v>
      </c>
      <c r="J72" s="7">
        <v>721</v>
      </c>
      <c r="K72" s="379">
        <v>278943.47965225141</v>
      </c>
      <c r="L72" s="7">
        <v>4473873.8481600014</v>
      </c>
      <c r="M72" s="7"/>
      <c r="N72" s="135"/>
      <c r="O72" s="7"/>
      <c r="Q72" s="376">
        <f t="shared" si="9"/>
        <v>9642963.0839313529</v>
      </c>
      <c r="R72" s="7">
        <f t="shared" si="10"/>
        <v>633143.4247005824</v>
      </c>
      <c r="S72" s="139">
        <f t="shared" si="11"/>
        <v>7.027259686068324E-2</v>
      </c>
      <c r="T72" s="139">
        <f t="shared" si="12"/>
        <v>7.027259686068324E-2</v>
      </c>
      <c r="V72" s="132"/>
      <c r="W72" s="132"/>
      <c r="X72" s="132"/>
      <c r="Y72" s="132"/>
      <c r="Z72" s="132"/>
      <c r="AA72" s="132"/>
      <c r="AB72" s="132"/>
      <c r="AC72" s="132"/>
      <c r="AD72" s="132"/>
    </row>
    <row r="73" spans="1:30">
      <c r="A73" s="2">
        <v>2015</v>
      </c>
      <c r="B73" s="2" t="s">
        <v>13</v>
      </c>
      <c r="C73" s="7">
        <v>8933084.615384616</v>
      </c>
      <c r="D73" s="7">
        <v>8322.630000000001</v>
      </c>
      <c r="E73" s="7">
        <v>8941407.2453846168</v>
      </c>
      <c r="F73" s="376">
        <f t="shared" si="8"/>
        <v>9224312.8788497262</v>
      </c>
      <c r="G73" s="15">
        <v>491.90000000000003</v>
      </c>
      <c r="H73" s="15">
        <v>0</v>
      </c>
      <c r="I73" s="2">
        <v>31</v>
      </c>
      <c r="J73" s="7">
        <v>718.7</v>
      </c>
      <c r="K73" s="379">
        <v>282905.63346510957</v>
      </c>
      <c r="L73" s="7">
        <v>3903048.2806800003</v>
      </c>
      <c r="M73" s="7"/>
      <c r="N73" s="135"/>
      <c r="O73" s="7"/>
      <c r="Q73" s="376">
        <f t="shared" si="9"/>
        <v>9467989.343378745</v>
      </c>
      <c r="R73" s="7">
        <f t="shared" si="10"/>
        <v>526582.09799412824</v>
      </c>
      <c r="S73" s="139">
        <f t="shared" si="11"/>
        <v>5.8892530397375631E-2</v>
      </c>
      <c r="T73" s="139">
        <f t="shared" si="12"/>
        <v>5.8892530397375631E-2</v>
      </c>
      <c r="V73" s="132"/>
      <c r="W73" s="132"/>
      <c r="X73" s="132"/>
      <c r="Y73" s="132"/>
      <c r="Z73" s="132"/>
      <c r="AA73" s="132"/>
      <c r="AB73" s="132"/>
      <c r="AC73" s="132"/>
      <c r="AD73" s="132"/>
    </row>
    <row r="74" spans="1:30">
      <c r="A74" s="134">
        <v>2016</v>
      </c>
      <c r="B74" s="134" t="s">
        <v>2</v>
      </c>
      <c r="C74" s="7">
        <v>9895553.846153846</v>
      </c>
      <c r="D74" s="7">
        <v>5207.68</v>
      </c>
      <c r="E74" s="7">
        <v>9900761.5261538457</v>
      </c>
      <c r="F74" s="376">
        <f t="shared" si="8"/>
        <v>10188936.043754911</v>
      </c>
      <c r="G74" s="15">
        <v>744.95000000000016</v>
      </c>
      <c r="H74" s="15">
        <v>0</v>
      </c>
      <c r="I74" s="2">
        <v>31</v>
      </c>
      <c r="J74" s="7">
        <v>715.8</v>
      </c>
      <c r="K74" s="379">
        <v>288174.5176010658</v>
      </c>
      <c r="L74" s="7">
        <v>4405570.5999600012</v>
      </c>
      <c r="M74" s="7"/>
      <c r="N74" s="135"/>
      <c r="O74" s="7"/>
      <c r="Q74" s="376">
        <f t="shared" si="9"/>
        <v>10621636.419526517</v>
      </c>
      <c r="R74" s="7">
        <f t="shared" si="10"/>
        <v>720874.89337267168</v>
      </c>
      <c r="S74" s="139">
        <f t="shared" si="11"/>
        <v>7.2810045113035904E-2</v>
      </c>
      <c r="T74" s="139">
        <f t="shared" si="12"/>
        <v>7.2810045113035904E-2</v>
      </c>
      <c r="V74" s="132"/>
      <c r="W74" s="132"/>
      <c r="X74" s="132"/>
      <c r="Y74" s="132"/>
      <c r="Z74" s="132"/>
      <c r="AA74" s="132"/>
      <c r="AB74" s="132"/>
      <c r="AC74" s="132"/>
      <c r="AD74" s="132"/>
    </row>
    <row r="75" spans="1:30">
      <c r="A75" s="2">
        <v>2016</v>
      </c>
      <c r="B75" s="2" t="s">
        <v>3</v>
      </c>
      <c r="C75" s="7">
        <v>9365623.0769230761</v>
      </c>
      <c r="D75" s="7">
        <v>13850.4</v>
      </c>
      <c r="E75" s="7">
        <v>9379473.4769230764</v>
      </c>
      <c r="F75" s="376">
        <f t="shared" si="8"/>
        <v>9672916.8786600977</v>
      </c>
      <c r="G75" s="15">
        <v>660.05</v>
      </c>
      <c r="H75" s="15">
        <v>0</v>
      </c>
      <c r="I75" s="2">
        <v>29</v>
      </c>
      <c r="J75" s="7">
        <v>710.9</v>
      </c>
      <c r="K75" s="379">
        <v>293443.40173702204</v>
      </c>
      <c r="L75" s="7">
        <v>4328369.4283199999</v>
      </c>
      <c r="M75" s="7"/>
      <c r="N75" s="135"/>
      <c r="O75" s="7"/>
      <c r="Q75" s="376">
        <f t="shared" si="9"/>
        <v>10068556.56299375</v>
      </c>
      <c r="R75" s="7">
        <f t="shared" si="10"/>
        <v>689083.08607067354</v>
      </c>
      <c r="S75" s="139">
        <f t="shared" si="11"/>
        <v>7.3467139468550033E-2</v>
      </c>
      <c r="T75" s="139">
        <f t="shared" si="12"/>
        <v>7.3467139468550033E-2</v>
      </c>
      <c r="V75" s="132"/>
      <c r="W75" s="132"/>
      <c r="X75" s="132"/>
      <c r="Y75" s="132"/>
      <c r="Z75" s="132"/>
      <c r="AA75" s="132"/>
      <c r="AB75" s="132"/>
      <c r="AC75" s="132"/>
      <c r="AD75" s="132"/>
    </row>
    <row r="76" spans="1:30">
      <c r="A76" s="2">
        <v>2016</v>
      </c>
      <c r="B76" s="2" t="s">
        <v>4</v>
      </c>
      <c r="C76" s="7">
        <v>9368753.846153846</v>
      </c>
      <c r="D76" s="7">
        <v>29901.01</v>
      </c>
      <c r="E76" s="7">
        <v>9398654.8561538458</v>
      </c>
      <c r="F76" s="376">
        <f t="shared" si="8"/>
        <v>9697367.1420268249</v>
      </c>
      <c r="G76" s="15">
        <v>522.60000000000014</v>
      </c>
      <c r="H76" s="15">
        <v>0</v>
      </c>
      <c r="I76" s="2">
        <v>31</v>
      </c>
      <c r="J76" s="7">
        <v>709.4</v>
      </c>
      <c r="K76" s="379">
        <v>298712.28587297827</v>
      </c>
      <c r="L76" s="7">
        <v>4524814.9260000009</v>
      </c>
      <c r="M76" s="7"/>
      <c r="N76" s="135"/>
      <c r="O76" s="7"/>
      <c r="Q76" s="376">
        <f t="shared" si="9"/>
        <v>10163160.910319712</v>
      </c>
      <c r="R76" s="7">
        <f t="shared" si="10"/>
        <v>764506.05416586623</v>
      </c>
      <c r="S76" s="139">
        <f t="shared" si="11"/>
        <v>8.1342071377937628E-2</v>
      </c>
      <c r="T76" s="139">
        <f t="shared" si="12"/>
        <v>8.1342071377937628E-2</v>
      </c>
      <c r="V76" s="132"/>
      <c r="W76" s="132"/>
      <c r="X76" s="132"/>
      <c r="Y76" s="132"/>
      <c r="Z76" s="132"/>
      <c r="AA76" s="132"/>
      <c r="AB76" s="132"/>
      <c r="AC76" s="132"/>
      <c r="AD76" s="132"/>
    </row>
    <row r="77" spans="1:30">
      <c r="A77" s="2">
        <v>2016</v>
      </c>
      <c r="B77" s="2" t="s">
        <v>5</v>
      </c>
      <c r="C77" s="7">
        <v>8794053.846153846</v>
      </c>
      <c r="D77" s="7">
        <v>44751.51</v>
      </c>
      <c r="E77" s="7">
        <v>8838805.3561538458</v>
      </c>
      <c r="F77" s="376">
        <f t="shared" si="8"/>
        <v>9142786.5261627808</v>
      </c>
      <c r="G77" s="15">
        <v>438.15</v>
      </c>
      <c r="H77" s="15">
        <v>0</v>
      </c>
      <c r="I77" s="2">
        <v>30</v>
      </c>
      <c r="J77" s="7">
        <v>707.4</v>
      </c>
      <c r="K77" s="379">
        <v>303981.17000893457</v>
      </c>
      <c r="L77" s="7">
        <v>4449082.70364</v>
      </c>
      <c r="M77" s="7"/>
      <c r="N77" s="135"/>
      <c r="O77" s="7"/>
      <c r="Q77" s="376">
        <f t="shared" si="9"/>
        <v>9741399.2775683142</v>
      </c>
      <c r="R77" s="7">
        <f t="shared" si="10"/>
        <v>902593.92141446844</v>
      </c>
      <c r="S77" s="139">
        <f t="shared" si="11"/>
        <v>0.10211718496392219</v>
      </c>
      <c r="T77" s="139">
        <f t="shared" si="12"/>
        <v>0.10211718496392219</v>
      </c>
      <c r="V77" s="132"/>
      <c r="W77" s="132"/>
      <c r="X77" s="132"/>
      <c r="Y77" s="132"/>
      <c r="Z77" s="132"/>
      <c r="AA77" s="132"/>
      <c r="AB77" s="132"/>
      <c r="AC77" s="132"/>
      <c r="AD77" s="132"/>
    </row>
    <row r="78" spans="1:30">
      <c r="A78" s="2">
        <v>2016</v>
      </c>
      <c r="B78" s="2" t="s">
        <v>6</v>
      </c>
      <c r="C78" s="7">
        <v>8456384.615384616</v>
      </c>
      <c r="D78" s="7">
        <v>56991.38</v>
      </c>
      <c r="E78" s="7">
        <v>8513375.9953846168</v>
      </c>
      <c r="F78" s="376">
        <f t="shared" si="8"/>
        <v>8820894.526270017</v>
      </c>
      <c r="G78" s="15">
        <v>187.6</v>
      </c>
      <c r="H78" s="15">
        <v>22.4</v>
      </c>
      <c r="I78" s="2">
        <v>31</v>
      </c>
      <c r="J78" s="7">
        <v>712.4</v>
      </c>
      <c r="K78" s="379">
        <v>307518.53088540089</v>
      </c>
      <c r="L78" s="7">
        <v>4474575.7718400005</v>
      </c>
      <c r="M78" s="7"/>
      <c r="N78" s="135"/>
      <c r="O78" s="7"/>
      <c r="Q78" s="376">
        <f t="shared" si="9"/>
        <v>9478665.9634795152</v>
      </c>
      <c r="R78" s="7">
        <f t="shared" si="10"/>
        <v>965289.96809489839</v>
      </c>
      <c r="S78" s="139">
        <f t="shared" si="11"/>
        <v>0.11338509759444597</v>
      </c>
      <c r="T78" s="139">
        <f t="shared" si="12"/>
        <v>0.11338509759444597</v>
      </c>
      <c r="V78" s="132"/>
      <c r="W78" s="132"/>
      <c r="X78" s="132"/>
      <c r="Y78" s="132"/>
      <c r="Z78" s="132"/>
      <c r="AA78" s="132"/>
      <c r="AB78" s="132"/>
      <c r="AC78" s="132"/>
      <c r="AD78" s="132"/>
    </row>
    <row r="79" spans="1:30">
      <c r="A79" s="2">
        <v>2016</v>
      </c>
      <c r="B79" s="2" t="s">
        <v>7</v>
      </c>
      <c r="C79" s="7">
        <v>8563653.846153846</v>
      </c>
      <c r="D79" s="7">
        <v>59808.130000000005</v>
      </c>
      <c r="E79" s="7">
        <v>8623461.9761538468</v>
      </c>
      <c r="F79" s="376">
        <f t="shared" si="8"/>
        <v>8936219.8901442084</v>
      </c>
      <c r="G79" s="15">
        <v>66.550000000000026</v>
      </c>
      <c r="H79" s="15">
        <v>27.55</v>
      </c>
      <c r="I79" s="2">
        <v>30</v>
      </c>
      <c r="J79" s="7">
        <v>714.6</v>
      </c>
      <c r="K79" s="379">
        <v>312757.91399036074</v>
      </c>
      <c r="L79" s="7">
        <v>4649234.5382400006</v>
      </c>
      <c r="M79" s="7"/>
      <c r="N79" s="135"/>
      <c r="O79" s="7"/>
      <c r="Q79" s="376">
        <f t="shared" si="9"/>
        <v>9267960.3730530478</v>
      </c>
      <c r="R79" s="7">
        <f t="shared" si="10"/>
        <v>644498.39689920098</v>
      </c>
      <c r="S79" s="139">
        <f t="shared" si="11"/>
        <v>7.4737779175162999E-2</v>
      </c>
      <c r="T79" s="139">
        <f t="shared" si="12"/>
        <v>7.4737779175162999E-2</v>
      </c>
      <c r="V79" s="132"/>
      <c r="W79" s="132"/>
      <c r="X79" s="132"/>
      <c r="Y79" s="132"/>
      <c r="Z79" s="132"/>
      <c r="AA79" s="132"/>
      <c r="AB79" s="132"/>
      <c r="AC79" s="132"/>
      <c r="AD79" s="132"/>
    </row>
    <row r="80" spans="1:30">
      <c r="A80" s="2">
        <v>2016</v>
      </c>
      <c r="B80" s="2" t="s">
        <v>8</v>
      </c>
      <c r="C80" s="7">
        <v>8313669.2307692319</v>
      </c>
      <c r="D80" s="7">
        <v>57728.289999999994</v>
      </c>
      <c r="E80" s="7">
        <v>8371397.520769232</v>
      </c>
      <c r="F80" s="376">
        <f t="shared" si="8"/>
        <v>8689394.8178645521</v>
      </c>
      <c r="G80" s="15">
        <v>17.3</v>
      </c>
      <c r="H80" s="15">
        <v>83</v>
      </c>
      <c r="I80" s="2">
        <v>31</v>
      </c>
      <c r="J80" s="7">
        <v>712.3</v>
      </c>
      <c r="K80" s="379">
        <v>317997.29709532059</v>
      </c>
      <c r="L80" s="7">
        <v>3951977.6131199999</v>
      </c>
      <c r="M80" s="7"/>
      <c r="N80" s="135"/>
      <c r="O80" s="7"/>
      <c r="Q80" s="376">
        <f t="shared" si="9"/>
        <v>9134108.9476028755</v>
      </c>
      <c r="R80" s="7">
        <f t="shared" si="10"/>
        <v>762711.42683364358</v>
      </c>
      <c r="S80" s="139">
        <f t="shared" si="11"/>
        <v>9.1109211447834751E-2</v>
      </c>
      <c r="T80" s="139">
        <f t="shared" si="12"/>
        <v>9.1109211447834751E-2</v>
      </c>
      <c r="V80" s="132"/>
      <c r="W80" s="132"/>
      <c r="X80" s="132"/>
      <c r="Y80" s="132"/>
      <c r="Z80" s="132"/>
      <c r="AA80" s="132"/>
      <c r="AB80" s="132"/>
      <c r="AC80" s="132"/>
      <c r="AD80" s="132"/>
    </row>
    <row r="81" spans="1:30">
      <c r="A81" s="2">
        <v>2016</v>
      </c>
      <c r="B81" s="2" t="s">
        <v>9</v>
      </c>
      <c r="C81" s="7">
        <v>9613546.153846154</v>
      </c>
      <c r="D81" s="7">
        <v>52636.83</v>
      </c>
      <c r="E81" s="7">
        <v>9666182.9838461541</v>
      </c>
      <c r="F81" s="376">
        <f t="shared" si="8"/>
        <v>9989419.6640464347</v>
      </c>
      <c r="G81" s="15">
        <v>3</v>
      </c>
      <c r="H81" s="15">
        <v>91.249999999999986</v>
      </c>
      <c r="I81" s="2">
        <v>31</v>
      </c>
      <c r="J81" s="7">
        <v>707.1</v>
      </c>
      <c r="K81" s="379">
        <v>323236.68020028045</v>
      </c>
      <c r="L81" s="7">
        <v>5045746.9622400003</v>
      </c>
      <c r="M81" s="7"/>
      <c r="N81" s="135"/>
      <c r="O81" s="7"/>
      <c r="Q81" s="376">
        <f t="shared" si="9"/>
        <v>10271801.028185029</v>
      </c>
      <c r="R81" s="7">
        <f t="shared" si="10"/>
        <v>605618.04433887452</v>
      </c>
      <c r="S81" s="139">
        <f t="shared" si="11"/>
        <v>6.2653277446843902E-2</v>
      </c>
      <c r="T81" s="139">
        <f t="shared" si="12"/>
        <v>6.2653277446843902E-2</v>
      </c>
      <c r="V81" s="132"/>
      <c r="W81" s="132"/>
      <c r="X81" s="132"/>
      <c r="Y81" s="132"/>
      <c r="Z81" s="132"/>
      <c r="AA81" s="132"/>
      <c r="AB81" s="132"/>
      <c r="AC81" s="132"/>
      <c r="AD81" s="132"/>
    </row>
    <row r="82" spans="1:30">
      <c r="A82" s="2">
        <v>2016</v>
      </c>
      <c r="B82" s="2" t="s">
        <v>10</v>
      </c>
      <c r="C82" s="7">
        <v>8887523.0769230779</v>
      </c>
      <c r="D82" s="7">
        <v>43822.909999999996</v>
      </c>
      <c r="E82" s="7">
        <v>8931345.9869230781</v>
      </c>
      <c r="F82" s="376">
        <f t="shared" si="8"/>
        <v>9259822.0502283182</v>
      </c>
      <c r="G82" s="15">
        <v>66.599999999999994</v>
      </c>
      <c r="H82" s="15">
        <v>25.1</v>
      </c>
      <c r="I82" s="2">
        <v>30</v>
      </c>
      <c r="J82" s="7">
        <v>702.4</v>
      </c>
      <c r="K82" s="379">
        <v>328476.0633052403</v>
      </c>
      <c r="L82" s="7">
        <v>4829712.546240001</v>
      </c>
      <c r="M82" s="7"/>
      <c r="N82" s="135"/>
      <c r="O82" s="7"/>
      <c r="Q82" s="376">
        <f t="shared" si="9"/>
        <v>9415980.8182410114</v>
      </c>
      <c r="R82" s="7">
        <f t="shared" si="10"/>
        <v>484634.83131793328</v>
      </c>
      <c r="S82" s="139">
        <f t="shared" si="11"/>
        <v>5.426223908776083E-2</v>
      </c>
      <c r="T82" s="139">
        <f t="shared" si="12"/>
        <v>5.426223908776083E-2</v>
      </c>
      <c r="V82" s="132"/>
      <c r="W82" s="132"/>
      <c r="X82" s="132"/>
      <c r="Y82" s="132"/>
      <c r="Z82" s="132"/>
      <c r="AA82" s="132"/>
      <c r="AB82" s="132"/>
      <c r="AC82" s="132"/>
      <c r="AD82" s="132"/>
    </row>
    <row r="83" spans="1:30">
      <c r="A83" s="2">
        <v>2016</v>
      </c>
      <c r="B83" s="2" t="s">
        <v>11</v>
      </c>
      <c r="C83" s="7">
        <v>8931730.7692307699</v>
      </c>
      <c r="D83" s="7">
        <v>27241.89</v>
      </c>
      <c r="E83" s="7">
        <v>8958972.6592307705</v>
      </c>
      <c r="F83" s="376">
        <f t="shared" si="8"/>
        <v>9292688.1056409702</v>
      </c>
      <c r="G83" s="15">
        <v>250.79999999999995</v>
      </c>
      <c r="H83" s="15">
        <v>1.5</v>
      </c>
      <c r="I83" s="2">
        <v>31</v>
      </c>
      <c r="J83" s="7">
        <v>702.3</v>
      </c>
      <c r="K83" s="379">
        <v>333715.44641020015</v>
      </c>
      <c r="L83" s="7">
        <v>4731581.3356800005</v>
      </c>
      <c r="M83" s="7"/>
      <c r="N83" s="135"/>
      <c r="O83" s="7"/>
      <c r="Q83" s="376">
        <f t="shared" si="9"/>
        <v>9679461.3101525102</v>
      </c>
      <c r="R83" s="7">
        <f t="shared" si="10"/>
        <v>720488.65092173964</v>
      </c>
      <c r="S83" s="139">
        <f t="shared" si="11"/>
        <v>8.0420900735687903E-2</v>
      </c>
      <c r="T83" s="139">
        <f t="shared" si="12"/>
        <v>8.0420900735687903E-2</v>
      </c>
      <c r="V83" s="132"/>
      <c r="W83" s="132"/>
      <c r="X83" s="132"/>
      <c r="Y83" s="132"/>
      <c r="Z83" s="132"/>
      <c r="AA83" s="132"/>
      <c r="AB83" s="132"/>
      <c r="AC83" s="132"/>
      <c r="AD83" s="132"/>
    </row>
    <row r="84" spans="1:30">
      <c r="A84" s="2">
        <v>2016</v>
      </c>
      <c r="B84" s="2" t="s">
        <v>12</v>
      </c>
      <c r="C84" s="7">
        <v>9077723.0769230779</v>
      </c>
      <c r="D84" s="7">
        <v>19126.449999999997</v>
      </c>
      <c r="E84" s="7">
        <v>9096849.5269230772</v>
      </c>
      <c r="F84" s="376">
        <f t="shared" si="8"/>
        <v>9435804.3564382363</v>
      </c>
      <c r="G84" s="15">
        <v>383.15</v>
      </c>
      <c r="H84" s="15">
        <v>0</v>
      </c>
      <c r="I84" s="2">
        <v>30</v>
      </c>
      <c r="J84" s="7">
        <v>680.08</v>
      </c>
      <c r="K84" s="379">
        <v>338954.82951515995</v>
      </c>
      <c r="L84" s="7">
        <v>4636842.8889600011</v>
      </c>
      <c r="M84" s="7"/>
      <c r="N84" s="135"/>
      <c r="O84" s="7"/>
      <c r="Q84" s="376">
        <f t="shared" si="9"/>
        <v>9770179.4376057088</v>
      </c>
      <c r="R84" s="7">
        <f t="shared" si="10"/>
        <v>673329.91068263166</v>
      </c>
      <c r="S84" s="139">
        <f t="shared" si="11"/>
        <v>7.4017923313982645E-2</v>
      </c>
      <c r="T84" s="139">
        <f t="shared" si="12"/>
        <v>7.4017923313982645E-2</v>
      </c>
      <c r="V84" s="132"/>
      <c r="W84" s="132"/>
      <c r="X84" s="132"/>
      <c r="Y84" s="132"/>
      <c r="Z84" s="132"/>
      <c r="AA84" s="132"/>
      <c r="AB84" s="132"/>
      <c r="AC84" s="132"/>
      <c r="AD84" s="132"/>
    </row>
    <row r="85" spans="1:30">
      <c r="A85" s="2">
        <v>2016</v>
      </c>
      <c r="B85" s="2" t="s">
        <v>13</v>
      </c>
      <c r="C85" s="7">
        <v>9430592.307692308</v>
      </c>
      <c r="D85" s="7">
        <v>2148.2600000000002</v>
      </c>
      <c r="E85" s="7">
        <v>9432740.5676923078</v>
      </c>
      <c r="F85" s="376">
        <f t="shared" si="8"/>
        <v>9776934.7803124283</v>
      </c>
      <c r="G85" s="15">
        <v>678.6</v>
      </c>
      <c r="H85" s="15">
        <v>0</v>
      </c>
      <c r="I85" s="2">
        <v>31</v>
      </c>
      <c r="J85" s="7">
        <v>678.47</v>
      </c>
      <c r="K85" s="379">
        <v>344194.2126201198</v>
      </c>
      <c r="L85" s="7">
        <v>4074210.2448000005</v>
      </c>
      <c r="M85" s="7"/>
      <c r="N85" s="135"/>
      <c r="O85" s="7"/>
      <c r="Q85" s="376">
        <f t="shared" si="9"/>
        <v>10095757.286620706</v>
      </c>
      <c r="R85" s="7">
        <f t="shared" si="10"/>
        <v>663016.71892839856</v>
      </c>
      <c r="S85" s="139">
        <f t="shared" si="11"/>
        <v>7.0288874603343793E-2</v>
      </c>
      <c r="T85" s="139">
        <f t="shared" si="12"/>
        <v>7.0288874603343793E-2</v>
      </c>
      <c r="V85" s="132"/>
      <c r="W85" s="132"/>
      <c r="X85" s="132"/>
      <c r="Y85" s="132"/>
      <c r="Z85" s="132"/>
      <c r="AA85" s="132"/>
      <c r="AB85" s="132"/>
      <c r="AC85" s="132"/>
      <c r="AD85" s="132"/>
    </row>
    <row r="86" spans="1:30">
      <c r="A86" s="134">
        <v>2017</v>
      </c>
      <c r="B86" s="134" t="s">
        <v>2</v>
      </c>
      <c r="C86" s="7">
        <v>9930885.7142857146</v>
      </c>
      <c r="D86" s="7">
        <v>5767.64</v>
      </c>
      <c r="E86" s="7">
        <v>9936653.3542857151</v>
      </c>
      <c r="F86" s="376">
        <f t="shared" si="8"/>
        <v>10283523.957267543</v>
      </c>
      <c r="G86" s="15">
        <v>683</v>
      </c>
      <c r="H86" s="15">
        <v>0</v>
      </c>
      <c r="I86" s="2">
        <v>31</v>
      </c>
      <c r="J86" s="7">
        <v>695.3</v>
      </c>
      <c r="K86" s="379">
        <v>346870.60298182809</v>
      </c>
      <c r="L86" s="7">
        <v>4687093.2816000003</v>
      </c>
      <c r="M86" s="7"/>
      <c r="N86" s="135"/>
      <c r="O86" s="7"/>
      <c r="Q86" s="376">
        <f t="shared" si="9"/>
        <v>10730506.33542862</v>
      </c>
      <c r="R86" s="7">
        <f t="shared" si="10"/>
        <v>793852.98114290461</v>
      </c>
      <c r="S86" s="139">
        <f t="shared" si="11"/>
        <v>7.9891383229194854E-2</v>
      </c>
      <c r="T86" s="139">
        <f t="shared" si="12"/>
        <v>7.9891383229194854E-2</v>
      </c>
      <c r="V86" s="132"/>
      <c r="W86" s="132"/>
      <c r="X86" s="132"/>
      <c r="Y86" s="132"/>
      <c r="Z86" s="132"/>
      <c r="AA86" s="132"/>
      <c r="AB86" s="132"/>
      <c r="AC86" s="132"/>
      <c r="AD86" s="132"/>
    </row>
    <row r="87" spans="1:30">
      <c r="A87" s="2">
        <v>2017</v>
      </c>
      <c r="B87" s="2" t="s">
        <v>3</v>
      </c>
      <c r="C87" s="7">
        <v>8810038.095238097</v>
      </c>
      <c r="D87" s="7">
        <v>12728.180000000002</v>
      </c>
      <c r="E87" s="7">
        <v>8822766.2752380967</v>
      </c>
      <c r="F87" s="376">
        <f t="shared" si="8"/>
        <v>9172313.2685816325</v>
      </c>
      <c r="G87" s="15">
        <v>559.29999999999995</v>
      </c>
      <c r="H87" s="15">
        <v>0</v>
      </c>
      <c r="I87" s="2">
        <v>28</v>
      </c>
      <c r="J87" s="7">
        <v>696.5</v>
      </c>
      <c r="K87" s="379">
        <v>349546.99334353633</v>
      </c>
      <c r="L87" s="7">
        <v>4246252.9632000001</v>
      </c>
      <c r="M87" s="7"/>
      <c r="N87" s="135"/>
      <c r="O87" s="7"/>
      <c r="Q87" s="376">
        <f t="shared" si="9"/>
        <v>9590606.7085957099</v>
      </c>
      <c r="R87" s="7">
        <f t="shared" si="10"/>
        <v>767840.43335761316</v>
      </c>
      <c r="S87" s="139">
        <f t="shared" si="11"/>
        <v>8.7029442853159084E-2</v>
      </c>
      <c r="T87" s="139">
        <f t="shared" si="12"/>
        <v>8.7029442853159084E-2</v>
      </c>
      <c r="V87" s="132"/>
      <c r="W87" s="132"/>
      <c r="X87" s="132"/>
      <c r="Y87" s="132"/>
      <c r="Z87" s="132"/>
      <c r="AA87" s="132"/>
      <c r="AB87" s="132"/>
      <c r="AC87" s="132"/>
      <c r="AD87" s="132"/>
    </row>
    <row r="88" spans="1:30">
      <c r="A88" s="2">
        <v>2017</v>
      </c>
      <c r="B88" s="2" t="s">
        <v>4</v>
      </c>
      <c r="C88" s="7">
        <v>9719966.6666666679</v>
      </c>
      <c r="D88" s="7">
        <v>28698.59</v>
      </c>
      <c r="E88" s="7">
        <v>9748665.2566666678</v>
      </c>
      <c r="F88" s="376">
        <f t="shared" si="8"/>
        <v>10100888.640371913</v>
      </c>
      <c r="G88" s="15">
        <v>649.80000000000007</v>
      </c>
      <c r="H88" s="15">
        <v>0</v>
      </c>
      <c r="I88" s="2">
        <v>31</v>
      </c>
      <c r="J88" s="7">
        <v>697.8</v>
      </c>
      <c r="K88" s="379">
        <v>352223.38370524463</v>
      </c>
      <c r="L88" s="7">
        <v>4726110.9715199992</v>
      </c>
      <c r="M88" s="7"/>
      <c r="N88" s="135"/>
      <c r="O88" s="7"/>
      <c r="Q88" s="376">
        <f t="shared" si="9"/>
        <v>10685420.826163122</v>
      </c>
      <c r="R88" s="7">
        <f t="shared" si="10"/>
        <v>936755.56949645467</v>
      </c>
      <c r="S88" s="139">
        <f t="shared" si="11"/>
        <v>9.6090648805060797E-2</v>
      </c>
      <c r="T88" s="139">
        <f t="shared" si="12"/>
        <v>9.6090648805060797E-2</v>
      </c>
      <c r="V88" s="132"/>
      <c r="W88" s="132"/>
      <c r="X88" s="132"/>
      <c r="Y88" s="132"/>
      <c r="Z88" s="132"/>
      <c r="AA88" s="132"/>
      <c r="AB88" s="132"/>
      <c r="AC88" s="132"/>
      <c r="AD88" s="132"/>
    </row>
    <row r="89" spans="1:30">
      <c r="A89" s="2">
        <v>2017</v>
      </c>
      <c r="B89" s="2" t="s">
        <v>5</v>
      </c>
      <c r="C89" s="7">
        <v>8325423.8095238097</v>
      </c>
      <c r="D89" s="7">
        <v>43249.94</v>
      </c>
      <c r="E89" s="7">
        <v>8368673.7495238101</v>
      </c>
      <c r="F89" s="376">
        <f t="shared" si="8"/>
        <v>8723573.5235907622</v>
      </c>
      <c r="G89" s="15">
        <v>306.90000000000003</v>
      </c>
      <c r="H89" s="15">
        <v>0</v>
      </c>
      <c r="I89" s="2">
        <v>30</v>
      </c>
      <c r="J89" s="7">
        <v>705.6</v>
      </c>
      <c r="K89" s="379">
        <v>354899.77406695287</v>
      </c>
      <c r="L89" s="7">
        <v>4367735.7321600001</v>
      </c>
      <c r="M89" s="7"/>
      <c r="N89" s="135"/>
      <c r="O89" s="7"/>
      <c r="Q89" s="376">
        <f t="shared" si="9"/>
        <v>9320268.0628667399</v>
      </c>
      <c r="R89" s="7">
        <f t="shared" si="10"/>
        <v>951594.31334292982</v>
      </c>
      <c r="S89" s="139">
        <f t="shared" si="11"/>
        <v>0.11370909439468553</v>
      </c>
      <c r="T89" s="139">
        <f t="shared" si="12"/>
        <v>0.11370909439468553</v>
      </c>
      <c r="V89" s="132"/>
      <c r="W89" s="132"/>
      <c r="X89" s="132"/>
      <c r="Y89" s="132"/>
      <c r="Z89" s="132"/>
      <c r="AA89" s="132"/>
      <c r="AB89" s="132"/>
      <c r="AC89" s="132"/>
      <c r="AD89" s="132"/>
    </row>
    <row r="90" spans="1:30">
      <c r="A90" s="2">
        <v>2017</v>
      </c>
      <c r="B90" s="2" t="s">
        <v>6</v>
      </c>
      <c r="C90" s="7">
        <v>8509933.333333334</v>
      </c>
      <c r="D90" s="7">
        <v>47946.709999999992</v>
      </c>
      <c r="E90" s="7">
        <v>8557880.0433333348</v>
      </c>
      <c r="F90" s="376">
        <f t="shared" si="8"/>
        <v>8915456.2077619955</v>
      </c>
      <c r="G90" s="15">
        <v>228.2</v>
      </c>
      <c r="H90" s="15">
        <v>2.8</v>
      </c>
      <c r="I90" s="2">
        <v>31</v>
      </c>
      <c r="J90" s="7">
        <v>717.2</v>
      </c>
      <c r="K90" s="379">
        <v>357576.16442866111</v>
      </c>
      <c r="L90" s="7">
        <v>4615335.4579200009</v>
      </c>
      <c r="M90" s="7"/>
      <c r="N90" s="135"/>
      <c r="O90" s="7"/>
      <c r="Q90" s="376">
        <f t="shared" si="9"/>
        <v>9527455.8875643536</v>
      </c>
      <c r="R90" s="7">
        <f t="shared" si="10"/>
        <v>969575.8442310188</v>
      </c>
      <c r="S90" s="139">
        <f t="shared" si="11"/>
        <v>0.11329626488353585</v>
      </c>
      <c r="T90" s="139">
        <f t="shared" si="12"/>
        <v>0.11329626488353585</v>
      </c>
      <c r="V90" s="132"/>
      <c r="W90" s="132"/>
      <c r="X90" s="132"/>
      <c r="Y90" s="132"/>
      <c r="Z90" s="132"/>
      <c r="AA90" s="132"/>
      <c r="AB90" s="132"/>
      <c r="AC90" s="132"/>
      <c r="AD90" s="132"/>
    </row>
    <row r="91" spans="1:30">
      <c r="A91" s="2">
        <v>2017</v>
      </c>
      <c r="B91" s="2" t="s">
        <v>7</v>
      </c>
      <c r="C91" s="7">
        <v>8510690.4761904776</v>
      </c>
      <c r="D91" s="7">
        <v>51758.58</v>
      </c>
      <c r="E91" s="7">
        <v>8562449.0561904777</v>
      </c>
      <c r="F91" s="376">
        <f t="shared" si="8"/>
        <v>8922701.6109808479</v>
      </c>
      <c r="G91" s="15">
        <v>57.099999999999994</v>
      </c>
      <c r="H91" s="15">
        <v>33.200000000000003</v>
      </c>
      <c r="I91" s="2">
        <v>30</v>
      </c>
      <c r="J91" s="7">
        <v>736.2</v>
      </c>
      <c r="K91" s="379">
        <v>360252.55479036941</v>
      </c>
      <c r="L91" s="7">
        <v>4628753.59968</v>
      </c>
      <c r="M91" s="7"/>
      <c r="N91" s="135"/>
      <c r="O91" s="7"/>
      <c r="Q91" s="376">
        <f t="shared" si="9"/>
        <v>9294162.6680957619</v>
      </c>
      <c r="R91" s="7">
        <f t="shared" si="10"/>
        <v>731713.61190528423</v>
      </c>
      <c r="S91" s="139">
        <f t="shared" si="11"/>
        <v>8.5456112743382703E-2</v>
      </c>
      <c r="T91" s="139">
        <f t="shared" si="12"/>
        <v>8.5456112743382703E-2</v>
      </c>
      <c r="V91" s="132"/>
      <c r="W91" s="132"/>
      <c r="X91" s="132"/>
      <c r="Y91" s="132"/>
      <c r="Z91" s="132"/>
      <c r="AA91" s="132"/>
      <c r="AB91" s="132"/>
      <c r="AC91" s="132"/>
      <c r="AD91" s="132"/>
    </row>
    <row r="92" spans="1:30">
      <c r="A92" s="2">
        <v>2017</v>
      </c>
      <c r="B92" s="2" t="s">
        <v>8</v>
      </c>
      <c r="C92" s="7">
        <v>8340833.333333334</v>
      </c>
      <c r="D92" s="7">
        <v>51601.86</v>
      </c>
      <c r="E92" s="7">
        <v>8392435.1933333334</v>
      </c>
      <c r="F92" s="376">
        <f t="shared" si="8"/>
        <v>8755364.1384854112</v>
      </c>
      <c r="G92" s="15">
        <v>9.4</v>
      </c>
      <c r="H92" s="15">
        <v>37.800000000000004</v>
      </c>
      <c r="I92" s="2">
        <v>31</v>
      </c>
      <c r="J92" s="7">
        <v>747.1</v>
      </c>
      <c r="K92" s="379">
        <v>362928.94515207765</v>
      </c>
      <c r="L92" s="7">
        <v>4242128.5584000004</v>
      </c>
      <c r="M92" s="7"/>
      <c r="N92" s="135"/>
      <c r="O92" s="7"/>
      <c r="Q92" s="376">
        <f t="shared" si="9"/>
        <v>8965018.9717235863</v>
      </c>
      <c r="R92" s="7">
        <f t="shared" si="10"/>
        <v>572583.77839025296</v>
      </c>
      <c r="S92" s="139">
        <f t="shared" si="11"/>
        <v>6.8226178123495573E-2</v>
      </c>
      <c r="T92" s="139">
        <f t="shared" si="12"/>
        <v>6.8226178123495573E-2</v>
      </c>
      <c r="V92" s="132"/>
      <c r="W92" s="132"/>
      <c r="X92" s="132"/>
      <c r="Y92" s="132"/>
      <c r="Z92" s="132"/>
      <c r="AA92" s="132"/>
      <c r="AB92" s="132"/>
      <c r="AC92" s="132"/>
      <c r="AD92" s="132"/>
    </row>
    <row r="93" spans="1:30">
      <c r="A93" s="2">
        <v>2017</v>
      </c>
      <c r="B93" s="2" t="s">
        <v>9</v>
      </c>
      <c r="C93" s="7">
        <v>8979966.666666666</v>
      </c>
      <c r="D93" s="7">
        <v>48390.44</v>
      </c>
      <c r="E93" s="7">
        <v>9028357.1066666655</v>
      </c>
      <c r="F93" s="376">
        <f t="shared" si="8"/>
        <v>9393962.442180451</v>
      </c>
      <c r="G93" s="15">
        <v>47.399999999999991</v>
      </c>
      <c r="H93" s="15">
        <v>26.3</v>
      </c>
      <c r="I93" s="2">
        <v>31</v>
      </c>
      <c r="J93" s="7">
        <v>752.8</v>
      </c>
      <c r="K93" s="379">
        <v>365605.33551378595</v>
      </c>
      <c r="L93" s="7">
        <v>4968790.0761599997</v>
      </c>
      <c r="M93" s="7"/>
      <c r="N93" s="135"/>
      <c r="O93" s="7"/>
      <c r="Q93" s="376">
        <f t="shared" si="9"/>
        <v>9676104.4048505351</v>
      </c>
      <c r="R93" s="7">
        <f t="shared" si="10"/>
        <v>647747.29818386957</v>
      </c>
      <c r="S93" s="139">
        <f t="shared" si="11"/>
        <v>7.1745865890214269E-2</v>
      </c>
      <c r="T93" s="139">
        <f t="shared" si="12"/>
        <v>7.1745865890214269E-2</v>
      </c>
      <c r="V93" s="132"/>
      <c r="W93" s="132"/>
      <c r="X93" s="132"/>
      <c r="Y93" s="132"/>
      <c r="Z93" s="132"/>
      <c r="AA93" s="132"/>
      <c r="AB93" s="132"/>
      <c r="AC93" s="132"/>
      <c r="AD93" s="132"/>
    </row>
    <row r="94" spans="1:30">
      <c r="A94" s="2">
        <v>2017</v>
      </c>
      <c r="B94" s="2" t="s">
        <v>10</v>
      </c>
      <c r="C94" s="7">
        <v>8504666.6666666679</v>
      </c>
      <c r="D94" s="7">
        <v>44462.16</v>
      </c>
      <c r="E94" s="7">
        <v>8549128.8266666681</v>
      </c>
      <c r="F94" s="376">
        <f t="shared" si="8"/>
        <v>8917410.5525421631</v>
      </c>
      <c r="G94" s="15">
        <v>92.4</v>
      </c>
      <c r="H94" s="15">
        <v>38.799999999999997</v>
      </c>
      <c r="I94" s="2">
        <v>30</v>
      </c>
      <c r="J94" s="7">
        <v>744.4</v>
      </c>
      <c r="K94" s="379">
        <v>368281.72587549419</v>
      </c>
      <c r="L94" s="7">
        <v>4504351.1932799993</v>
      </c>
      <c r="M94" s="7"/>
      <c r="N94" s="135"/>
      <c r="O94" s="7"/>
      <c r="Q94" s="376">
        <f t="shared" si="9"/>
        <v>9323030.581948407</v>
      </c>
      <c r="R94" s="7">
        <f t="shared" si="10"/>
        <v>773901.75528173894</v>
      </c>
      <c r="S94" s="139">
        <f t="shared" si="11"/>
        <v>9.0524048820947015E-2</v>
      </c>
      <c r="T94" s="139">
        <f t="shared" si="12"/>
        <v>9.0524048820947015E-2</v>
      </c>
      <c r="V94" s="132"/>
      <c r="W94" s="132"/>
      <c r="X94" s="132"/>
      <c r="Y94" s="132"/>
      <c r="Z94" s="132"/>
      <c r="AA94" s="132"/>
      <c r="AB94" s="132"/>
      <c r="AC94" s="132"/>
      <c r="AD94" s="132"/>
    </row>
    <row r="95" spans="1:30">
      <c r="A95" s="2">
        <v>2017</v>
      </c>
      <c r="B95" s="2" t="s">
        <v>11</v>
      </c>
      <c r="C95" s="7">
        <v>8854833.333333334</v>
      </c>
      <c r="D95" s="7">
        <v>29071.199999999993</v>
      </c>
      <c r="E95" s="7">
        <v>8883904.5333333332</v>
      </c>
      <c r="F95" s="376">
        <f t="shared" si="8"/>
        <v>9254862.6495705359</v>
      </c>
      <c r="G95" s="15">
        <v>206.3</v>
      </c>
      <c r="H95" s="15">
        <v>1.4</v>
      </c>
      <c r="I95" s="2">
        <v>31</v>
      </c>
      <c r="J95" s="7">
        <v>735</v>
      </c>
      <c r="K95" s="379">
        <v>370958.11623720248</v>
      </c>
      <c r="L95" s="7">
        <v>4755960.1324800001</v>
      </c>
      <c r="M95" s="7"/>
      <c r="N95" s="135"/>
      <c r="O95" s="7"/>
      <c r="Q95" s="376">
        <f t="shared" si="9"/>
        <v>9608425.2907268628</v>
      </c>
      <c r="R95" s="7">
        <f t="shared" si="10"/>
        <v>724520.75739352964</v>
      </c>
      <c r="S95" s="139">
        <f t="shared" si="11"/>
        <v>8.1554315973911301E-2</v>
      </c>
      <c r="T95" s="139">
        <f t="shared" si="12"/>
        <v>8.1554315973911301E-2</v>
      </c>
      <c r="V95" s="132"/>
      <c r="W95" s="132"/>
      <c r="X95" s="132"/>
      <c r="Y95" s="132"/>
      <c r="Z95" s="132"/>
      <c r="AA95" s="132"/>
      <c r="AB95" s="132"/>
      <c r="AC95" s="132"/>
      <c r="AD95" s="132"/>
    </row>
    <row r="96" spans="1:30">
      <c r="A96" s="2">
        <v>2017</v>
      </c>
      <c r="B96" s="2" t="s">
        <v>12</v>
      </c>
      <c r="C96" s="7">
        <v>9238000.0000000019</v>
      </c>
      <c r="D96" s="7">
        <v>10901.419999999998</v>
      </c>
      <c r="E96" s="7">
        <v>9248901.4200000018</v>
      </c>
      <c r="F96" s="376">
        <f t="shared" si="8"/>
        <v>9622535.9265989121</v>
      </c>
      <c r="G96" s="15">
        <v>506.2999999999999</v>
      </c>
      <c r="H96" s="15">
        <v>0</v>
      </c>
      <c r="I96" s="2">
        <v>30</v>
      </c>
      <c r="J96" s="7">
        <v>726.2</v>
      </c>
      <c r="K96" s="379">
        <v>373634.50659891072</v>
      </c>
      <c r="L96" s="7">
        <v>4578001.3094400009</v>
      </c>
      <c r="M96" s="7"/>
      <c r="N96" s="135"/>
      <c r="O96" s="7"/>
      <c r="Q96" s="376">
        <f t="shared" si="9"/>
        <v>10057906.393215116</v>
      </c>
      <c r="R96" s="7">
        <f t="shared" si="10"/>
        <v>809004.97321511433</v>
      </c>
      <c r="S96" s="139">
        <f t="shared" si="11"/>
        <v>8.7470385560138683E-2</v>
      </c>
      <c r="T96" s="139">
        <f t="shared" si="12"/>
        <v>8.7470385560138683E-2</v>
      </c>
      <c r="V96" s="132"/>
      <c r="W96" s="132"/>
      <c r="X96" s="132"/>
      <c r="Y96" s="132"/>
      <c r="Z96" s="132"/>
      <c r="AA96" s="132"/>
      <c r="AB96" s="132"/>
      <c r="AC96" s="132"/>
      <c r="AD96" s="132"/>
    </row>
    <row r="97" spans="1:54">
      <c r="A97" s="2">
        <v>2017</v>
      </c>
      <c r="B97" s="2" t="s">
        <v>13</v>
      </c>
      <c r="C97" s="7">
        <v>9018400</v>
      </c>
      <c r="D97" s="7">
        <v>4527.1900000000005</v>
      </c>
      <c r="E97" s="7">
        <v>9022927.1899999995</v>
      </c>
      <c r="F97" s="376">
        <f t="shared" si="8"/>
        <v>9399238.0869606193</v>
      </c>
      <c r="G97" s="15">
        <v>775.09999999999991</v>
      </c>
      <c r="H97" s="15">
        <v>0</v>
      </c>
      <c r="I97" s="2">
        <v>31</v>
      </c>
      <c r="J97" s="7">
        <v>716.5</v>
      </c>
      <c r="K97" s="379">
        <v>376310.89696061896</v>
      </c>
      <c r="L97" s="7">
        <v>3605478.5923200008</v>
      </c>
      <c r="M97" s="7"/>
      <c r="N97" s="135"/>
      <c r="O97" s="7"/>
      <c r="Q97" s="376">
        <f t="shared" si="9"/>
        <v>9899776.6774805076</v>
      </c>
      <c r="R97" s="7">
        <f t="shared" si="10"/>
        <v>876849.48748050816</v>
      </c>
      <c r="S97" s="139">
        <f t="shared" si="11"/>
        <v>9.7180157726675417E-2</v>
      </c>
      <c r="T97" s="139">
        <f t="shared" si="12"/>
        <v>9.7180157726675417E-2</v>
      </c>
      <c r="V97" s="132"/>
      <c r="W97" s="132"/>
      <c r="X97" s="132"/>
      <c r="Y97" s="132"/>
      <c r="Z97" s="132"/>
      <c r="AA97" s="132"/>
      <c r="AB97" s="132"/>
      <c r="AC97" s="132"/>
      <c r="AD97" s="132"/>
    </row>
    <row r="98" spans="1:54">
      <c r="A98" s="134">
        <v>2018</v>
      </c>
      <c r="B98" s="134" t="s">
        <v>2</v>
      </c>
      <c r="C98" s="7">
        <v>10120900</v>
      </c>
      <c r="D98" s="7">
        <v>7990.8499999999985</v>
      </c>
      <c r="E98" s="7">
        <v>10128890.85</v>
      </c>
      <c r="F98" s="376">
        <f t="shared" si="8"/>
        <v>10509903.213503886</v>
      </c>
      <c r="G98" s="15">
        <v>792.89999999999986</v>
      </c>
      <c r="H98" s="15">
        <v>0</v>
      </c>
      <c r="I98" s="2">
        <v>31</v>
      </c>
      <c r="J98" s="7">
        <v>703.7</v>
      </c>
      <c r="K98" s="379">
        <v>381012.36350388575</v>
      </c>
      <c r="L98" s="7">
        <v>4526352.5299200006</v>
      </c>
      <c r="M98" s="7"/>
      <c r="N98" s="135"/>
      <c r="O98" s="7"/>
      <c r="Q98" s="376">
        <f t="shared" si="9"/>
        <v>10858583.837446559</v>
      </c>
      <c r="R98" s="7">
        <f t="shared" si="10"/>
        <v>729692.98744655959</v>
      </c>
      <c r="S98" s="139">
        <f t="shared" si="11"/>
        <v>7.2040759274897267E-2</v>
      </c>
      <c r="T98" s="139">
        <f t="shared" si="12"/>
        <v>7.2040759274897267E-2</v>
      </c>
      <c r="V98" s="132"/>
      <c r="W98" s="132"/>
      <c r="X98" s="132"/>
      <c r="Y98" s="132"/>
      <c r="Z98" s="132"/>
      <c r="AA98" s="132"/>
      <c r="AB98" s="132"/>
      <c r="AC98" s="132"/>
      <c r="AD98" s="132"/>
    </row>
    <row r="99" spans="1:54">
      <c r="A99" s="2">
        <v>2018</v>
      </c>
      <c r="B99" s="2" t="s">
        <v>3</v>
      </c>
      <c r="C99" s="7">
        <v>8889933.333333334</v>
      </c>
      <c r="D99" s="7">
        <v>14039.759999999998</v>
      </c>
      <c r="E99" s="7">
        <v>8903973.0933333337</v>
      </c>
      <c r="F99" s="376">
        <f t="shared" si="8"/>
        <v>9289686.9233804867</v>
      </c>
      <c r="G99" s="15">
        <v>619.6</v>
      </c>
      <c r="H99" s="15">
        <v>0</v>
      </c>
      <c r="I99" s="2">
        <v>28</v>
      </c>
      <c r="J99" s="7">
        <v>692.6</v>
      </c>
      <c r="K99" s="379">
        <v>385713.83004715247</v>
      </c>
      <c r="L99" s="7">
        <v>4091881.8355200007</v>
      </c>
      <c r="M99" s="7"/>
      <c r="N99" s="135"/>
      <c r="O99" s="7"/>
      <c r="Q99" s="376">
        <f t="shared" si="9"/>
        <v>9589389.4723422732</v>
      </c>
      <c r="R99" s="7">
        <f t="shared" si="10"/>
        <v>685416.37900893949</v>
      </c>
      <c r="S99" s="139">
        <f t="shared" si="11"/>
        <v>7.697871184293345E-2</v>
      </c>
      <c r="T99" s="139">
        <f t="shared" si="12"/>
        <v>7.697871184293345E-2</v>
      </c>
      <c r="V99" s="132"/>
      <c r="W99" s="132"/>
      <c r="X99" s="132"/>
      <c r="Y99" s="132"/>
      <c r="Z99" s="132"/>
      <c r="AA99" s="132"/>
      <c r="AB99" s="132"/>
      <c r="AC99" s="132"/>
      <c r="AD99" s="132"/>
    </row>
    <row r="100" spans="1:54">
      <c r="A100" s="2">
        <v>2018</v>
      </c>
      <c r="B100" s="2" t="s">
        <v>4</v>
      </c>
      <c r="C100" s="7">
        <v>9293433.333333334</v>
      </c>
      <c r="D100" s="7">
        <v>41769.879999999997</v>
      </c>
      <c r="E100" s="7">
        <v>9335203.2133333348</v>
      </c>
      <c r="F100" s="376">
        <f t="shared" si="8"/>
        <v>9725618.5099237543</v>
      </c>
      <c r="G100" s="15">
        <v>631.59999999999991</v>
      </c>
      <c r="H100" s="15">
        <v>0</v>
      </c>
      <c r="I100" s="2">
        <v>31</v>
      </c>
      <c r="J100" s="7">
        <v>688.9</v>
      </c>
      <c r="K100" s="379">
        <v>390415.29659041925</v>
      </c>
      <c r="L100" s="7">
        <v>4458043.20096</v>
      </c>
      <c r="M100" s="7"/>
      <c r="N100" s="135"/>
      <c r="O100" s="7"/>
      <c r="Q100" s="376">
        <f t="shared" si="9"/>
        <v>10364832.843399888</v>
      </c>
      <c r="R100" s="7">
        <f t="shared" si="10"/>
        <v>1029629.6300665531</v>
      </c>
      <c r="S100" s="139">
        <f t="shared" si="11"/>
        <v>0.11029536331849189</v>
      </c>
      <c r="T100" s="139">
        <f t="shared" si="12"/>
        <v>0.11029536331849189</v>
      </c>
      <c r="V100" s="132"/>
      <c r="W100" s="132"/>
      <c r="X100" s="132"/>
      <c r="Y100" s="132"/>
      <c r="Z100" s="132"/>
      <c r="AA100" s="132"/>
      <c r="AB100" s="132"/>
      <c r="AC100" s="132"/>
      <c r="AD100" s="132"/>
    </row>
    <row r="101" spans="1:54">
      <c r="A101" s="2">
        <v>2018</v>
      </c>
      <c r="B101" s="2" t="s">
        <v>5</v>
      </c>
      <c r="C101" s="7">
        <v>8633466.6666666679</v>
      </c>
      <c r="D101" s="7">
        <v>37676.380000000005</v>
      </c>
      <c r="E101" s="7">
        <v>8671143.0466666687</v>
      </c>
      <c r="F101" s="376">
        <f t="shared" si="8"/>
        <v>9066259.8098003548</v>
      </c>
      <c r="G101" s="15">
        <v>515.69999999999993</v>
      </c>
      <c r="H101" s="15">
        <v>0</v>
      </c>
      <c r="I101" s="2">
        <v>30</v>
      </c>
      <c r="J101" s="7">
        <v>695.4</v>
      </c>
      <c r="K101" s="379">
        <v>395116.76313368598</v>
      </c>
      <c r="L101" s="7">
        <v>4217020.4649599995</v>
      </c>
      <c r="M101" s="7"/>
      <c r="N101" s="135"/>
      <c r="O101" s="7"/>
      <c r="Q101" s="376">
        <f t="shared" si="9"/>
        <v>9701940.8568925336</v>
      </c>
      <c r="R101" s="7">
        <f t="shared" si="10"/>
        <v>1030797.8102258649</v>
      </c>
      <c r="S101" s="139">
        <f t="shared" si="11"/>
        <v>0.11887680836059102</v>
      </c>
      <c r="T101" s="139">
        <f t="shared" si="12"/>
        <v>0.11887680836059102</v>
      </c>
      <c r="V101" s="132"/>
      <c r="W101" s="132"/>
      <c r="X101" s="132"/>
      <c r="Y101" s="132"/>
      <c r="Z101" s="132"/>
      <c r="AA101" s="132"/>
      <c r="AB101" s="132"/>
      <c r="AC101" s="132"/>
      <c r="AD101" s="132"/>
    </row>
    <row r="102" spans="1:54">
      <c r="A102" s="2">
        <v>2018</v>
      </c>
      <c r="B102" s="2" t="s">
        <v>6</v>
      </c>
      <c r="C102" s="7">
        <v>8484266.6666666679</v>
      </c>
      <c r="D102" s="7">
        <v>57043.030000000006</v>
      </c>
      <c r="E102" s="7">
        <v>8541309.6966666672</v>
      </c>
      <c r="F102" s="376">
        <f t="shared" si="8"/>
        <v>8941127.9263436198</v>
      </c>
      <c r="G102" s="15">
        <v>120</v>
      </c>
      <c r="H102" s="15">
        <v>30.699999999999996</v>
      </c>
      <c r="I102" s="2">
        <v>31</v>
      </c>
      <c r="J102" s="7">
        <v>704.2</v>
      </c>
      <c r="K102" s="379">
        <v>399818.22967695276</v>
      </c>
      <c r="L102" s="7">
        <v>4625443.2067200011</v>
      </c>
      <c r="M102" s="7"/>
      <c r="N102" s="135"/>
      <c r="O102" s="7"/>
      <c r="Q102" s="376">
        <f t="shared" si="9"/>
        <v>9534563.5275244955</v>
      </c>
      <c r="R102" s="7">
        <f t="shared" si="10"/>
        <v>993253.83085782826</v>
      </c>
      <c r="S102" s="139">
        <f t="shared" si="11"/>
        <v>0.11628823519248525</v>
      </c>
      <c r="T102" s="139">
        <f t="shared" si="12"/>
        <v>0.11628823519248525</v>
      </c>
      <c r="V102" s="132"/>
      <c r="W102" s="132"/>
      <c r="X102" s="132"/>
      <c r="Y102" s="132"/>
      <c r="Z102" s="132"/>
      <c r="AA102" s="132"/>
      <c r="AB102" s="132"/>
      <c r="AC102" s="132"/>
      <c r="AD102" s="132"/>
    </row>
    <row r="103" spans="1:54">
      <c r="A103" s="2">
        <v>2018</v>
      </c>
      <c r="B103" s="2" t="s">
        <v>7</v>
      </c>
      <c r="C103" s="7">
        <v>8312400</v>
      </c>
      <c r="D103" s="7">
        <v>54834.23000000001</v>
      </c>
      <c r="E103" s="7">
        <v>8367234.2300000004</v>
      </c>
      <c r="F103" s="376">
        <f t="shared" si="8"/>
        <v>8771753.9262202196</v>
      </c>
      <c r="G103" s="15">
        <v>46.500000000000007</v>
      </c>
      <c r="H103" s="15">
        <v>28.7</v>
      </c>
      <c r="I103" s="2">
        <v>30</v>
      </c>
      <c r="J103" s="7">
        <v>720.2</v>
      </c>
      <c r="K103" s="379">
        <v>404519.69622021948</v>
      </c>
      <c r="L103" s="7">
        <v>4420601.9596800003</v>
      </c>
      <c r="M103" s="7"/>
      <c r="N103" s="135"/>
      <c r="O103" s="7"/>
      <c r="Q103" s="376">
        <f t="shared" si="9"/>
        <v>9002810.1695006229</v>
      </c>
      <c r="R103" s="7">
        <f t="shared" si="10"/>
        <v>635575.93950062245</v>
      </c>
      <c r="S103" s="139">
        <f t="shared" si="11"/>
        <v>7.5960098884505875E-2</v>
      </c>
      <c r="T103" s="139">
        <f t="shared" si="12"/>
        <v>7.5960098884505875E-2</v>
      </c>
      <c r="V103" s="132"/>
      <c r="W103" s="132"/>
      <c r="X103" s="132"/>
      <c r="Y103" s="132"/>
      <c r="Z103" s="132"/>
      <c r="AA103" s="132"/>
      <c r="AB103" s="132"/>
      <c r="AC103" s="132"/>
      <c r="AD103" s="132"/>
    </row>
    <row r="104" spans="1:54">
      <c r="A104" s="2">
        <v>2018</v>
      </c>
      <c r="B104" s="2" t="s">
        <v>8</v>
      </c>
      <c r="C104" s="7">
        <v>8610466.6666666679</v>
      </c>
      <c r="D104" s="7">
        <v>59166.259999999995</v>
      </c>
      <c r="E104" s="7">
        <v>8669632.9266666677</v>
      </c>
      <c r="F104" s="376">
        <f t="shared" si="8"/>
        <v>9078854.0894301534</v>
      </c>
      <c r="G104" s="15">
        <v>11</v>
      </c>
      <c r="H104" s="15">
        <v>77.300000000000026</v>
      </c>
      <c r="I104" s="2">
        <v>31</v>
      </c>
      <c r="J104" s="7">
        <v>739.3</v>
      </c>
      <c r="K104" s="379">
        <v>409221.16276348627</v>
      </c>
      <c r="L104" s="7">
        <v>4194517.0176000008</v>
      </c>
      <c r="M104" s="7"/>
      <c r="N104" s="135"/>
      <c r="O104" s="7"/>
      <c r="Q104" s="376">
        <f t="shared" si="9"/>
        <v>9319174.3681339547</v>
      </c>
      <c r="R104" s="7">
        <f t="shared" si="10"/>
        <v>649541.44146728702</v>
      </c>
      <c r="S104" s="139">
        <f t="shared" si="11"/>
        <v>7.4921446728082541E-2</v>
      </c>
      <c r="T104" s="139">
        <f t="shared" si="12"/>
        <v>7.4921446728082541E-2</v>
      </c>
      <c r="V104" s="132"/>
      <c r="W104" s="132"/>
      <c r="X104" s="132"/>
      <c r="Y104" s="132"/>
      <c r="Z104" s="132"/>
      <c r="AA104" s="132"/>
      <c r="AB104" s="132"/>
      <c r="AC104" s="132"/>
      <c r="AD104" s="132"/>
    </row>
    <row r="105" spans="1:54">
      <c r="A105" s="2">
        <v>2018</v>
      </c>
      <c r="B105" s="2" t="s">
        <v>9</v>
      </c>
      <c r="C105" s="7">
        <v>9144333.333333334</v>
      </c>
      <c r="D105" s="7">
        <v>47775.59</v>
      </c>
      <c r="E105" s="7">
        <v>9192108.9233333338</v>
      </c>
      <c r="F105" s="376">
        <f t="shared" si="8"/>
        <v>9606031.552640086</v>
      </c>
      <c r="G105" s="15">
        <v>5.7</v>
      </c>
      <c r="H105" s="15">
        <v>80.900000000000006</v>
      </c>
      <c r="I105" s="2">
        <v>31</v>
      </c>
      <c r="J105" s="7">
        <v>747.9</v>
      </c>
      <c r="K105" s="379">
        <v>413922.62930675299</v>
      </c>
      <c r="L105" s="7">
        <v>4725688.9939200003</v>
      </c>
      <c r="M105" s="7"/>
      <c r="N105" s="135"/>
      <c r="O105" s="7"/>
      <c r="Q105" s="376">
        <f t="shared" si="9"/>
        <v>9878727.4439384639</v>
      </c>
      <c r="R105" s="7">
        <f t="shared" si="10"/>
        <v>686618.52060513012</v>
      </c>
      <c r="S105" s="139">
        <f t="shared" si="11"/>
        <v>7.4696517016047473E-2</v>
      </c>
      <c r="T105" s="139">
        <f t="shared" si="12"/>
        <v>7.4696517016047473E-2</v>
      </c>
      <c r="V105" s="132"/>
      <c r="W105" s="132"/>
      <c r="X105" s="132"/>
      <c r="Y105" s="132"/>
      <c r="Z105" s="132"/>
      <c r="AA105" s="132"/>
      <c r="AB105" s="132"/>
      <c r="AC105" s="132"/>
      <c r="AD105" s="132"/>
    </row>
    <row r="106" spans="1:54" s="141" customFormat="1">
      <c r="A106" s="2">
        <v>2018</v>
      </c>
      <c r="B106" s="2" t="s">
        <v>10</v>
      </c>
      <c r="C106" s="7">
        <v>8298633.3333333349</v>
      </c>
      <c r="D106" s="7">
        <v>38626.42</v>
      </c>
      <c r="E106" s="7">
        <v>8337259.7533333348</v>
      </c>
      <c r="F106" s="376">
        <f t="shared" si="8"/>
        <v>8755883.8491833545</v>
      </c>
      <c r="G106" s="15">
        <v>87.899999999999991</v>
      </c>
      <c r="H106" s="15">
        <v>46.099999999999994</v>
      </c>
      <c r="I106" s="2">
        <v>30</v>
      </c>
      <c r="J106" s="7">
        <v>745.5</v>
      </c>
      <c r="K106" s="379">
        <v>418624.09585001977</v>
      </c>
      <c r="L106" s="7">
        <v>4238331.9321600003</v>
      </c>
      <c r="M106" s="7"/>
      <c r="N106" s="135"/>
      <c r="O106" s="7"/>
      <c r="P106" s="2"/>
      <c r="Q106" s="376">
        <f t="shared" si="9"/>
        <v>9120475.3061866574</v>
      </c>
      <c r="R106" s="7">
        <f t="shared" si="10"/>
        <v>783215.55285332259</v>
      </c>
      <c r="S106" s="139">
        <f t="shared" si="11"/>
        <v>9.3941603839341067E-2</v>
      </c>
      <c r="T106" s="139">
        <f t="shared" si="12"/>
        <v>9.3941603839341067E-2</v>
      </c>
      <c r="U106" s="4"/>
      <c r="V106" s="132"/>
      <c r="W106" s="132"/>
      <c r="X106" s="132"/>
      <c r="Y106" s="132"/>
      <c r="Z106" s="132"/>
      <c r="AA106" s="132"/>
      <c r="AB106" s="132"/>
      <c r="AC106" s="132"/>
      <c r="AD106" s="132"/>
      <c r="AE106" s="4"/>
      <c r="AF106" s="4"/>
      <c r="AG106" s="4"/>
      <c r="AH106" s="4"/>
      <c r="AI106" s="4"/>
      <c r="AJ106" s="4"/>
      <c r="AK106" s="4"/>
      <c r="AL106" s="4"/>
      <c r="AM106" s="4"/>
      <c r="AN106" s="4"/>
      <c r="AO106" s="4"/>
      <c r="AP106" s="4"/>
      <c r="AQ106" s="4"/>
      <c r="AR106" s="4"/>
      <c r="AS106" s="4"/>
      <c r="AT106" s="4"/>
      <c r="AU106" s="4"/>
      <c r="AV106" s="4"/>
      <c r="AW106" s="4"/>
      <c r="AX106" s="4"/>
      <c r="AY106" s="4"/>
      <c r="AZ106" s="4"/>
      <c r="BA106" s="4"/>
      <c r="BB106" s="4"/>
    </row>
    <row r="107" spans="1:54" s="141" customFormat="1">
      <c r="A107" s="2">
        <v>2018</v>
      </c>
      <c r="B107" s="2" t="s">
        <v>11</v>
      </c>
      <c r="C107" s="7">
        <v>8833466.6666666679</v>
      </c>
      <c r="D107" s="7">
        <v>21692.31</v>
      </c>
      <c r="E107" s="7">
        <v>8855158.9766666684</v>
      </c>
      <c r="F107" s="376">
        <f t="shared" si="8"/>
        <v>9278484.5390599556</v>
      </c>
      <c r="G107" s="15">
        <v>338.7</v>
      </c>
      <c r="H107" s="15">
        <v>7.9</v>
      </c>
      <c r="I107" s="2">
        <v>31</v>
      </c>
      <c r="J107" s="7">
        <v>742.1</v>
      </c>
      <c r="K107" s="379">
        <v>423325.5623932865</v>
      </c>
      <c r="L107" s="7">
        <v>4538667.4560000002</v>
      </c>
      <c r="M107" s="7"/>
      <c r="N107" s="135"/>
      <c r="O107" s="7"/>
      <c r="P107" s="2"/>
      <c r="Q107" s="376">
        <f t="shared" si="9"/>
        <v>9803430.7530120835</v>
      </c>
      <c r="R107" s="7">
        <f t="shared" si="10"/>
        <v>948271.77634541504</v>
      </c>
      <c r="S107" s="139">
        <f t="shared" si="11"/>
        <v>0.10708692851750147</v>
      </c>
      <c r="T107" s="139">
        <f t="shared" si="12"/>
        <v>0.10708692851750147</v>
      </c>
      <c r="U107" s="4"/>
      <c r="V107" s="132"/>
      <c r="W107" s="132"/>
      <c r="X107" s="132"/>
      <c r="Y107" s="132"/>
      <c r="Z107" s="132"/>
      <c r="AA107" s="132"/>
      <c r="AB107" s="132"/>
      <c r="AC107" s="132"/>
      <c r="AD107" s="132"/>
      <c r="AE107" s="4"/>
      <c r="AF107" s="4"/>
      <c r="AG107" s="4"/>
      <c r="AH107" s="4"/>
      <c r="AI107" s="4"/>
      <c r="AJ107" s="4"/>
      <c r="AK107" s="4"/>
      <c r="AL107" s="4"/>
      <c r="AM107" s="4"/>
      <c r="AN107" s="4"/>
      <c r="AO107" s="4"/>
      <c r="AP107" s="4"/>
      <c r="AQ107" s="4"/>
      <c r="AR107" s="4"/>
      <c r="AS107" s="4"/>
      <c r="AT107" s="4"/>
      <c r="AU107" s="4"/>
      <c r="AV107" s="4"/>
      <c r="AW107" s="4"/>
      <c r="AX107" s="4"/>
      <c r="AY107" s="4"/>
      <c r="AZ107" s="4"/>
      <c r="BA107" s="4"/>
      <c r="BB107" s="4"/>
    </row>
    <row r="108" spans="1:54" s="141" customFormat="1">
      <c r="A108" s="2">
        <v>2018</v>
      </c>
      <c r="B108" s="2" t="s">
        <v>12</v>
      </c>
      <c r="C108" s="7">
        <v>8985166.6666666679</v>
      </c>
      <c r="D108" s="7">
        <v>4955.49</v>
      </c>
      <c r="E108" s="7">
        <v>8990122.1566666681</v>
      </c>
      <c r="F108" s="376">
        <f t="shared" si="8"/>
        <v>9418149.1856032219</v>
      </c>
      <c r="G108" s="15">
        <v>568.90000000000009</v>
      </c>
      <c r="H108" s="15">
        <v>0</v>
      </c>
      <c r="I108" s="2">
        <v>30</v>
      </c>
      <c r="J108" s="7">
        <v>745.7</v>
      </c>
      <c r="K108" s="379">
        <v>428027.02893655322</v>
      </c>
      <c r="L108" s="7">
        <v>4247842.6252800003</v>
      </c>
      <c r="M108" s="7"/>
      <c r="N108" s="135"/>
      <c r="O108" s="7"/>
      <c r="P108" s="2"/>
      <c r="Q108" s="376">
        <f t="shared" si="9"/>
        <v>9901452.9984957147</v>
      </c>
      <c r="R108" s="7">
        <f t="shared" si="10"/>
        <v>911330.84182904661</v>
      </c>
      <c r="S108" s="139">
        <f t="shared" si="11"/>
        <v>0.10137024013108041</v>
      </c>
      <c r="T108" s="139">
        <f t="shared" si="12"/>
        <v>0.10137024013108041</v>
      </c>
      <c r="U108" s="4"/>
      <c r="V108" s="132"/>
      <c r="W108" s="132"/>
      <c r="X108" s="132"/>
      <c r="Y108" s="132"/>
      <c r="Z108" s="132"/>
      <c r="AA108" s="132"/>
      <c r="AB108" s="132"/>
      <c r="AC108" s="132"/>
      <c r="AD108" s="132"/>
      <c r="AE108" s="4"/>
      <c r="AF108" s="4"/>
      <c r="AG108" s="4"/>
      <c r="AH108" s="4"/>
      <c r="AI108" s="4"/>
      <c r="AJ108" s="4"/>
      <c r="AK108" s="4"/>
      <c r="AL108" s="4"/>
      <c r="AM108" s="4"/>
      <c r="AN108" s="4"/>
      <c r="AO108" s="4"/>
      <c r="AP108" s="4"/>
      <c r="AQ108" s="4"/>
      <c r="AR108" s="4"/>
      <c r="AS108" s="4"/>
      <c r="AT108" s="4"/>
      <c r="AU108" s="4"/>
      <c r="AV108" s="4"/>
      <c r="AW108" s="4"/>
      <c r="AX108" s="4"/>
      <c r="AY108" s="4"/>
      <c r="AZ108" s="4"/>
      <c r="BA108" s="4"/>
      <c r="BB108" s="4"/>
    </row>
    <row r="109" spans="1:54" s="141" customFormat="1">
      <c r="A109" s="2">
        <v>2018</v>
      </c>
      <c r="B109" s="2" t="s">
        <v>13</v>
      </c>
      <c r="C109" s="7">
        <v>8669133.333333334</v>
      </c>
      <c r="D109" s="7">
        <v>5517.38</v>
      </c>
      <c r="E109" s="7">
        <v>8674650.7133333348</v>
      </c>
      <c r="F109" s="376">
        <f t="shared" si="8"/>
        <v>9107379.2088131551</v>
      </c>
      <c r="G109" s="15">
        <v>623.70000000000005</v>
      </c>
      <c r="H109" s="15">
        <v>0</v>
      </c>
      <c r="I109" s="2">
        <v>31</v>
      </c>
      <c r="J109" s="7">
        <v>751</v>
      </c>
      <c r="K109" s="379">
        <v>432728.49547982001</v>
      </c>
      <c r="L109" s="7">
        <v>3518108.4499200005</v>
      </c>
      <c r="M109" s="7"/>
      <c r="N109" s="135"/>
      <c r="O109" s="7"/>
      <c r="P109" s="2"/>
      <c r="Q109" s="376">
        <f t="shared" si="9"/>
        <v>9443304.6968366206</v>
      </c>
      <c r="R109" s="7">
        <f t="shared" si="10"/>
        <v>768653.9835032858</v>
      </c>
      <c r="S109" s="139">
        <f t="shared" si="11"/>
        <v>8.8609214238658571E-2</v>
      </c>
      <c r="T109" s="139">
        <f t="shared" si="12"/>
        <v>8.8609214238658571E-2</v>
      </c>
      <c r="U109" s="4"/>
      <c r="V109" s="132"/>
      <c r="W109" s="132"/>
      <c r="X109" s="132"/>
      <c r="Y109" s="132"/>
      <c r="Z109" s="132"/>
      <c r="AA109" s="132"/>
      <c r="AB109" s="132"/>
      <c r="AC109" s="132"/>
      <c r="AD109" s="132"/>
      <c r="AE109" s="4"/>
      <c r="AF109" s="4"/>
      <c r="AG109" s="4"/>
      <c r="AH109" s="4"/>
      <c r="AI109" s="4"/>
      <c r="AJ109" s="4"/>
      <c r="AK109" s="4"/>
      <c r="AL109" s="4"/>
      <c r="AM109" s="4"/>
      <c r="AN109" s="4"/>
      <c r="AO109" s="4"/>
      <c r="AP109" s="4"/>
      <c r="AQ109" s="4"/>
      <c r="AR109" s="4"/>
      <c r="AS109" s="4"/>
      <c r="AT109" s="4"/>
      <c r="AU109" s="4"/>
      <c r="AV109" s="4"/>
      <c r="AW109" s="4"/>
      <c r="AX109" s="4"/>
      <c r="AY109" s="4"/>
      <c r="AZ109" s="4"/>
      <c r="BA109" s="4"/>
      <c r="BB109" s="4"/>
    </row>
    <row r="110" spans="1:54" s="141" customFormat="1">
      <c r="A110" s="134">
        <v>2019</v>
      </c>
      <c r="B110" s="134" t="s">
        <v>2</v>
      </c>
      <c r="C110" s="7">
        <v>9946980</v>
      </c>
      <c r="D110" s="7">
        <v>9214.18</v>
      </c>
      <c r="E110" s="7">
        <v>9956194.1799999997</v>
      </c>
      <c r="F110" s="376">
        <f t="shared" si="8"/>
        <v>10393382.61785017</v>
      </c>
      <c r="G110" s="15">
        <v>848.80000000000007</v>
      </c>
      <c r="H110" s="15">
        <v>0</v>
      </c>
      <c r="I110" s="2">
        <v>31</v>
      </c>
      <c r="J110" s="7">
        <v>748.7</v>
      </c>
      <c r="K110" s="379">
        <v>437188.43785016931</v>
      </c>
      <c r="L110" s="7">
        <v>4403212.0070400005</v>
      </c>
      <c r="M110" s="7"/>
      <c r="N110" s="135"/>
      <c r="O110" s="7"/>
      <c r="P110" s="2"/>
      <c r="Q110" s="376">
        <f t="shared" si="9"/>
        <v>10907789.37351691</v>
      </c>
      <c r="R110" s="7">
        <f t="shared" si="10"/>
        <v>951595.19351691008</v>
      </c>
      <c r="S110" s="139">
        <f t="shared" si="11"/>
        <v>9.5578207527176828E-2</v>
      </c>
      <c r="T110" s="139">
        <f t="shared" si="12"/>
        <v>9.5578207527176828E-2</v>
      </c>
      <c r="U110" s="4"/>
      <c r="V110" s="132"/>
      <c r="W110" s="132"/>
      <c r="X110" s="132"/>
      <c r="Y110" s="132"/>
      <c r="Z110" s="132"/>
      <c r="AA110" s="132"/>
      <c r="AB110" s="132"/>
      <c r="AC110" s="132"/>
      <c r="AD110" s="132"/>
      <c r="AE110" s="4"/>
      <c r="AF110" s="4"/>
      <c r="AG110" s="4"/>
      <c r="AH110" s="4"/>
      <c r="AI110" s="4"/>
      <c r="AJ110" s="4"/>
      <c r="AK110" s="4"/>
      <c r="AL110" s="4"/>
      <c r="AM110" s="4"/>
      <c r="AN110" s="4"/>
      <c r="AO110" s="4"/>
      <c r="AP110" s="4"/>
      <c r="AQ110" s="4"/>
      <c r="AR110" s="4"/>
      <c r="AS110" s="4"/>
      <c r="AT110" s="4"/>
      <c r="AU110" s="4"/>
      <c r="AV110" s="4"/>
      <c r="AW110" s="4"/>
      <c r="AX110" s="4"/>
      <c r="AY110" s="4"/>
      <c r="AZ110" s="4"/>
      <c r="BA110" s="4"/>
      <c r="BB110" s="4"/>
    </row>
    <row r="111" spans="1:54" s="141" customFormat="1">
      <c r="A111" s="2">
        <v>2019</v>
      </c>
      <c r="B111" s="2" t="s">
        <v>3</v>
      </c>
      <c r="C111" s="7">
        <v>8808860</v>
      </c>
      <c r="D111" s="7">
        <v>12654.52</v>
      </c>
      <c r="E111" s="7">
        <v>8821514.5199999996</v>
      </c>
      <c r="F111" s="376">
        <f t="shared" si="8"/>
        <v>9263162.9002205189</v>
      </c>
      <c r="G111" s="15">
        <v>690</v>
      </c>
      <c r="H111" s="15">
        <v>0</v>
      </c>
      <c r="I111" s="2">
        <v>28</v>
      </c>
      <c r="J111" s="7">
        <v>741.3</v>
      </c>
      <c r="K111" s="379">
        <v>441648.38022051868</v>
      </c>
      <c r="L111" s="7">
        <v>3946641.8342400002</v>
      </c>
      <c r="M111" s="7"/>
      <c r="N111" s="135"/>
      <c r="O111" s="7"/>
      <c r="P111" s="2"/>
      <c r="Q111" s="376">
        <f t="shared" si="9"/>
        <v>9656220.5842127204</v>
      </c>
      <c r="R111" s="7">
        <f t="shared" si="10"/>
        <v>834706.06421272084</v>
      </c>
      <c r="S111" s="139">
        <f t="shared" si="11"/>
        <v>9.462162787583564E-2</v>
      </c>
      <c r="T111" s="139">
        <f t="shared" si="12"/>
        <v>9.462162787583564E-2</v>
      </c>
      <c r="U111" s="4"/>
      <c r="V111" s="132"/>
      <c r="W111" s="132"/>
      <c r="X111" s="132"/>
      <c r="Y111" s="132"/>
      <c r="Z111" s="132"/>
      <c r="AA111" s="132"/>
      <c r="AB111" s="132"/>
      <c r="AC111" s="132"/>
      <c r="AD111" s="132"/>
      <c r="AE111" s="4"/>
      <c r="AF111" s="4"/>
      <c r="AG111" s="4"/>
      <c r="AH111" s="4"/>
      <c r="AI111" s="4"/>
      <c r="AJ111" s="4"/>
      <c r="AK111" s="4"/>
      <c r="AL111" s="4"/>
      <c r="AM111" s="4"/>
      <c r="AN111" s="4"/>
      <c r="AO111" s="4"/>
      <c r="AP111" s="4"/>
      <c r="AQ111" s="4"/>
      <c r="AR111" s="4"/>
      <c r="AS111" s="4"/>
      <c r="AT111" s="4"/>
      <c r="AU111" s="4"/>
      <c r="AV111" s="4"/>
      <c r="AW111" s="4"/>
      <c r="AX111" s="4"/>
      <c r="AY111" s="4"/>
      <c r="AZ111" s="4"/>
      <c r="BA111" s="4"/>
      <c r="BB111" s="4"/>
    </row>
    <row r="112" spans="1:54" s="141" customFormat="1">
      <c r="A112" s="2">
        <v>2019</v>
      </c>
      <c r="B112" s="2" t="s">
        <v>4</v>
      </c>
      <c r="C112" s="7">
        <v>9361540</v>
      </c>
      <c r="D112" s="7">
        <v>35597.689999999995</v>
      </c>
      <c r="E112" s="7">
        <v>9397137.6899999995</v>
      </c>
      <c r="F112" s="376">
        <f t="shared" si="8"/>
        <v>9843246.0125908684</v>
      </c>
      <c r="G112" s="15">
        <v>674.125</v>
      </c>
      <c r="H112" s="15">
        <v>0</v>
      </c>
      <c r="I112" s="2">
        <v>31</v>
      </c>
      <c r="J112" s="7">
        <v>733.8</v>
      </c>
      <c r="K112" s="379">
        <v>446108.32259086805</v>
      </c>
      <c r="L112" s="7">
        <v>4369392.9532800009</v>
      </c>
      <c r="M112" s="7"/>
      <c r="N112" s="135"/>
      <c r="O112" s="7"/>
      <c r="P112" s="2"/>
      <c r="Q112" s="376">
        <f t="shared" si="9"/>
        <v>10413955.135840435</v>
      </c>
      <c r="R112" s="7">
        <f t="shared" si="10"/>
        <v>1016817.4458404351</v>
      </c>
      <c r="S112" s="139">
        <f t="shared" si="11"/>
        <v>0.10820501724929341</v>
      </c>
      <c r="T112" s="139">
        <f t="shared" si="12"/>
        <v>0.10820501724929341</v>
      </c>
      <c r="U112" s="4"/>
      <c r="V112" s="132"/>
      <c r="W112" s="132"/>
      <c r="X112" s="132"/>
      <c r="Y112" s="132"/>
      <c r="Z112" s="132"/>
      <c r="AA112" s="132"/>
      <c r="AB112" s="132"/>
      <c r="AC112" s="132"/>
      <c r="AD112" s="132"/>
      <c r="AE112" s="4"/>
      <c r="AF112" s="4"/>
      <c r="AG112" s="4"/>
      <c r="AH112" s="4"/>
      <c r="AI112" s="4"/>
      <c r="AJ112" s="4"/>
      <c r="AK112" s="4"/>
      <c r="AL112" s="4"/>
      <c r="AM112" s="4"/>
      <c r="AN112" s="4"/>
      <c r="AO112" s="4"/>
      <c r="AP112" s="4"/>
      <c r="AQ112" s="4"/>
      <c r="AR112" s="4"/>
      <c r="AS112" s="4"/>
      <c r="AT112" s="4"/>
      <c r="AU112" s="4"/>
      <c r="AV112" s="4"/>
      <c r="AW112" s="4"/>
      <c r="AX112" s="4"/>
      <c r="AY112" s="4"/>
      <c r="AZ112" s="4"/>
      <c r="BA112" s="4"/>
      <c r="BB112" s="4"/>
    </row>
    <row r="113" spans="1:54" s="141" customFormat="1">
      <c r="A113" s="2">
        <v>2019</v>
      </c>
      <c r="B113" s="2" t="s">
        <v>5</v>
      </c>
      <c r="C113" s="7">
        <v>8484459.9999999981</v>
      </c>
      <c r="D113" s="7">
        <v>35834</v>
      </c>
      <c r="E113" s="7">
        <v>8520293.9999999981</v>
      </c>
      <c r="F113" s="376">
        <f t="shared" si="8"/>
        <v>8970862.2649612147</v>
      </c>
      <c r="G113" s="15">
        <v>412.49999999999994</v>
      </c>
      <c r="H113" s="15">
        <v>0</v>
      </c>
      <c r="I113" s="2">
        <v>30</v>
      </c>
      <c r="J113" s="7">
        <v>734</v>
      </c>
      <c r="K113" s="379">
        <v>450568.26496121736</v>
      </c>
      <c r="L113" s="7">
        <v>4248725.9011200005</v>
      </c>
      <c r="M113" s="7"/>
      <c r="N113" s="135"/>
      <c r="O113" s="7"/>
      <c r="P113" s="2"/>
      <c r="Q113" s="376">
        <f t="shared" si="9"/>
        <v>9491474.3231849931</v>
      </c>
      <c r="R113" s="7">
        <f t="shared" si="10"/>
        <v>971180.32318499498</v>
      </c>
      <c r="S113" s="139">
        <f t="shared" si="11"/>
        <v>0.11398436757992098</v>
      </c>
      <c r="T113" s="139">
        <f t="shared" si="12"/>
        <v>0.11398436757992098</v>
      </c>
      <c r="U113" s="4"/>
      <c r="V113" s="132"/>
      <c r="W113" s="132"/>
      <c r="X113" s="132"/>
      <c r="Y113" s="132"/>
      <c r="Z113" s="132"/>
      <c r="AA113" s="132"/>
      <c r="AB113" s="132"/>
      <c r="AC113" s="132"/>
      <c r="AD113" s="132"/>
      <c r="AE113" s="4"/>
      <c r="AF113" s="4"/>
      <c r="AG113" s="4"/>
      <c r="AH113" s="4"/>
      <c r="AI113" s="4"/>
      <c r="AJ113" s="4"/>
      <c r="AK113" s="4"/>
      <c r="AL113" s="4"/>
      <c r="AM113" s="4"/>
      <c r="AN113" s="4"/>
      <c r="AO113" s="4"/>
      <c r="AP113" s="4"/>
      <c r="AQ113" s="4"/>
      <c r="AR113" s="4"/>
      <c r="AS113" s="4"/>
      <c r="AT113" s="4"/>
      <c r="AU113" s="4"/>
      <c r="AV113" s="4"/>
      <c r="AW113" s="4"/>
      <c r="AX113" s="4"/>
      <c r="AY113" s="4"/>
      <c r="AZ113" s="4"/>
      <c r="BA113" s="4"/>
      <c r="BB113" s="4"/>
    </row>
    <row r="114" spans="1:54" s="141" customFormat="1">
      <c r="A114" s="2">
        <v>2019</v>
      </c>
      <c r="B114" s="2" t="s">
        <v>6</v>
      </c>
      <c r="C114" s="7">
        <v>8296559.9999999991</v>
      </c>
      <c r="D114" s="7">
        <v>44721.200000000004</v>
      </c>
      <c r="E114" s="7">
        <v>8341281.1999999993</v>
      </c>
      <c r="F114" s="376">
        <f t="shared" si="8"/>
        <v>8796309.4073315654</v>
      </c>
      <c r="G114" s="15">
        <v>227.05000000000004</v>
      </c>
      <c r="H114" s="15">
        <v>1</v>
      </c>
      <c r="I114" s="2">
        <v>31</v>
      </c>
      <c r="J114" s="7">
        <v>747.1</v>
      </c>
      <c r="K114" s="379">
        <v>455028.20733156672</v>
      </c>
      <c r="L114" s="7">
        <v>4400982.5587200001</v>
      </c>
      <c r="M114" s="7"/>
      <c r="N114" s="135"/>
      <c r="O114" s="7"/>
      <c r="P114" s="2"/>
      <c r="Q114" s="376">
        <f t="shared" si="9"/>
        <v>9310470.4251041133</v>
      </c>
      <c r="R114" s="7">
        <f t="shared" si="10"/>
        <v>969189.22510411404</v>
      </c>
      <c r="S114" s="139">
        <f t="shared" si="11"/>
        <v>0.11619188969484857</v>
      </c>
      <c r="T114" s="139">
        <f t="shared" si="12"/>
        <v>0.11619188969484857</v>
      </c>
      <c r="U114" s="4"/>
      <c r="V114" s="132"/>
      <c r="W114" s="132"/>
      <c r="X114" s="132"/>
      <c r="Y114" s="132"/>
      <c r="Z114" s="132"/>
      <c r="AA114" s="132"/>
      <c r="AB114" s="132"/>
      <c r="AC114" s="132"/>
      <c r="AD114" s="132"/>
      <c r="AE114" s="4"/>
      <c r="AF114" s="4"/>
      <c r="AG114" s="4"/>
      <c r="AH114" s="4"/>
      <c r="AI114" s="4"/>
      <c r="AJ114" s="4"/>
      <c r="AK114" s="4"/>
      <c r="AL114" s="4"/>
      <c r="AM114" s="4"/>
      <c r="AN114" s="4"/>
      <c r="AO114" s="4"/>
      <c r="AP114" s="4"/>
      <c r="AQ114" s="4"/>
      <c r="AR114" s="4"/>
      <c r="AS114" s="4"/>
      <c r="AT114" s="4"/>
      <c r="AU114" s="4"/>
      <c r="AV114" s="4"/>
      <c r="AW114" s="4"/>
      <c r="AX114" s="4"/>
      <c r="AY114" s="4"/>
      <c r="AZ114" s="4"/>
      <c r="BA114" s="4"/>
      <c r="BB114" s="4"/>
    </row>
    <row r="115" spans="1:54" s="141" customFormat="1">
      <c r="A115" s="2">
        <v>2019</v>
      </c>
      <c r="B115" s="2" t="s">
        <v>7</v>
      </c>
      <c r="C115" s="7">
        <v>7886820</v>
      </c>
      <c r="D115" s="7">
        <v>55081.819999999992</v>
      </c>
      <c r="E115" s="7">
        <v>7941901.8200000003</v>
      </c>
      <c r="F115" s="376">
        <f t="shared" si="8"/>
        <v>8401389.969701916</v>
      </c>
      <c r="G115" s="15">
        <v>70.2</v>
      </c>
      <c r="H115" s="15">
        <v>16.399999999999999</v>
      </c>
      <c r="I115" s="2">
        <v>30</v>
      </c>
      <c r="J115" s="7">
        <v>762.3</v>
      </c>
      <c r="K115" s="379">
        <v>459488.14970191603</v>
      </c>
      <c r="L115" s="7">
        <v>4127497.0646400009</v>
      </c>
      <c r="M115" s="7"/>
      <c r="N115" s="135"/>
      <c r="O115" s="7"/>
      <c r="P115" s="2"/>
      <c r="Q115" s="376">
        <f t="shared" si="9"/>
        <v>8671816.4971859995</v>
      </c>
      <c r="R115" s="7">
        <f t="shared" si="10"/>
        <v>729914.67718599923</v>
      </c>
      <c r="S115" s="139">
        <f t="shared" si="11"/>
        <v>9.1906786778434293E-2</v>
      </c>
      <c r="T115" s="139">
        <f t="shared" si="12"/>
        <v>9.1906786778434293E-2</v>
      </c>
      <c r="U115" s="4"/>
      <c r="V115" s="132"/>
      <c r="W115" s="132"/>
      <c r="X115" s="132"/>
      <c r="Y115" s="132"/>
      <c r="Z115" s="132"/>
      <c r="AA115" s="132"/>
      <c r="AB115" s="132"/>
      <c r="AC115" s="132"/>
      <c r="AD115" s="132"/>
      <c r="AE115" s="4"/>
      <c r="AF115" s="4"/>
      <c r="AG115" s="4"/>
      <c r="AH115" s="4"/>
      <c r="AI115" s="4"/>
      <c r="AJ115" s="4"/>
      <c r="AK115" s="4"/>
      <c r="AL115" s="4"/>
      <c r="AM115" s="4"/>
      <c r="AN115" s="4"/>
      <c r="AO115" s="4"/>
      <c r="AP115" s="4"/>
      <c r="AQ115" s="4"/>
      <c r="AR115" s="4"/>
      <c r="AS115" s="4"/>
      <c r="AT115" s="4"/>
      <c r="AU115" s="4"/>
      <c r="AV115" s="4"/>
      <c r="AW115" s="4"/>
      <c r="AX115" s="4"/>
      <c r="AY115" s="4"/>
      <c r="AZ115" s="4"/>
      <c r="BA115" s="4"/>
      <c r="BB115" s="4"/>
    </row>
    <row r="116" spans="1:54" s="141" customFormat="1">
      <c r="A116" s="2">
        <v>2019</v>
      </c>
      <c r="B116" s="2" t="s">
        <v>8</v>
      </c>
      <c r="C116" s="7">
        <v>8759520</v>
      </c>
      <c r="D116" s="7">
        <v>61228.27</v>
      </c>
      <c r="E116" s="7">
        <v>8820748.2699999996</v>
      </c>
      <c r="F116" s="376">
        <f t="shared" si="8"/>
        <v>9284696.3620722648</v>
      </c>
      <c r="G116" s="15">
        <v>6.6000000000000005</v>
      </c>
      <c r="H116" s="15">
        <v>92.500000000000014</v>
      </c>
      <c r="I116" s="2">
        <v>31</v>
      </c>
      <c r="J116" s="7">
        <v>764.2</v>
      </c>
      <c r="K116" s="379">
        <v>463948.0920722654</v>
      </c>
      <c r="L116" s="7">
        <v>4161543.8371200003</v>
      </c>
      <c r="M116" s="7"/>
      <c r="N116" s="135"/>
      <c r="O116" s="7"/>
      <c r="P116" s="2"/>
      <c r="Q116" s="376">
        <f t="shared" si="9"/>
        <v>9445292.0009310134</v>
      </c>
      <c r="R116" s="7">
        <f t="shared" si="10"/>
        <v>624543.73093101382</v>
      </c>
      <c r="S116" s="139">
        <f t="shared" si="11"/>
        <v>7.0803939962228835E-2</v>
      </c>
      <c r="T116" s="139">
        <f t="shared" si="12"/>
        <v>7.0803939962228835E-2</v>
      </c>
      <c r="U116" s="4"/>
      <c r="V116" s="132"/>
      <c r="W116" s="132"/>
      <c r="X116" s="132"/>
      <c r="Y116" s="132"/>
      <c r="Z116" s="132"/>
      <c r="AA116" s="132"/>
      <c r="AB116" s="132"/>
      <c r="AC116" s="132"/>
      <c r="AD116" s="132"/>
      <c r="AE116" s="4"/>
      <c r="AF116" s="4"/>
      <c r="AG116" s="4"/>
      <c r="AH116" s="4"/>
      <c r="AI116" s="4"/>
      <c r="AJ116" s="4"/>
      <c r="AK116" s="4"/>
      <c r="AL116" s="4"/>
      <c r="AM116" s="4"/>
      <c r="AN116" s="4"/>
      <c r="AO116" s="4"/>
      <c r="AP116" s="4"/>
      <c r="AQ116" s="4"/>
      <c r="AR116" s="4"/>
      <c r="AS116" s="4"/>
      <c r="AT116" s="4"/>
      <c r="AU116" s="4"/>
      <c r="AV116" s="4"/>
      <c r="AW116" s="4"/>
      <c r="AX116" s="4"/>
      <c r="AY116" s="4"/>
      <c r="AZ116" s="4"/>
      <c r="BA116" s="4"/>
      <c r="BB116" s="4"/>
    </row>
    <row r="117" spans="1:54" s="141" customFormat="1">
      <c r="A117" s="2">
        <v>2019</v>
      </c>
      <c r="B117" s="2" t="s">
        <v>9</v>
      </c>
      <c r="C117" s="7">
        <v>8748640</v>
      </c>
      <c r="D117" s="7">
        <v>57103.76</v>
      </c>
      <c r="E117" s="7">
        <v>8805743.7599999998</v>
      </c>
      <c r="F117" s="376">
        <f t="shared" si="8"/>
        <v>9274151.7944426145</v>
      </c>
      <c r="G117" s="15">
        <v>25.1</v>
      </c>
      <c r="H117" s="15">
        <v>33.300000000000004</v>
      </c>
      <c r="I117" s="2">
        <v>31</v>
      </c>
      <c r="J117" s="7">
        <v>760.2</v>
      </c>
      <c r="K117" s="379">
        <v>468408.03444261471</v>
      </c>
      <c r="L117" s="7">
        <v>4590395.5161600001</v>
      </c>
      <c r="M117" s="7"/>
      <c r="N117" s="135"/>
      <c r="O117" s="7"/>
      <c r="P117" s="2"/>
      <c r="Q117" s="376">
        <f t="shared" si="9"/>
        <v>9316123.3454115242</v>
      </c>
      <c r="R117" s="7">
        <f t="shared" si="10"/>
        <v>510379.5854115244</v>
      </c>
      <c r="S117" s="139">
        <f t="shared" si="11"/>
        <v>5.7959849766457933E-2</v>
      </c>
      <c r="T117" s="139">
        <f t="shared" si="12"/>
        <v>5.7959849766457933E-2</v>
      </c>
      <c r="U117" s="4"/>
      <c r="V117" s="132"/>
      <c r="W117" s="132"/>
      <c r="X117" s="132"/>
      <c r="Y117" s="132"/>
      <c r="Z117" s="132"/>
      <c r="AA117" s="132"/>
      <c r="AB117" s="132"/>
      <c r="AC117" s="132"/>
      <c r="AD117" s="132"/>
      <c r="AE117" s="4"/>
      <c r="AF117" s="4"/>
      <c r="AG117" s="4"/>
      <c r="AH117" s="4"/>
      <c r="AI117" s="4"/>
      <c r="AJ117" s="4"/>
      <c r="AK117" s="4"/>
      <c r="AL117" s="4"/>
      <c r="AM117" s="4"/>
      <c r="AN117" s="4"/>
      <c r="AO117" s="4"/>
      <c r="AP117" s="4"/>
      <c r="AQ117" s="4"/>
      <c r="AR117" s="4"/>
      <c r="AS117" s="4"/>
      <c r="AT117" s="4"/>
      <c r="AU117" s="4"/>
      <c r="AV117" s="4"/>
      <c r="AW117" s="4"/>
      <c r="AX117" s="4"/>
      <c r="AY117" s="4"/>
      <c r="AZ117" s="4"/>
      <c r="BA117" s="4"/>
      <c r="BB117" s="4"/>
    </row>
    <row r="118" spans="1:54" s="141" customFormat="1">
      <c r="A118" s="2">
        <v>2019</v>
      </c>
      <c r="B118" s="2" t="s">
        <v>10</v>
      </c>
      <c r="C118" s="7">
        <v>8164120</v>
      </c>
      <c r="D118" s="7">
        <v>36922.69</v>
      </c>
      <c r="E118" s="7">
        <v>8201042.6900000004</v>
      </c>
      <c r="F118" s="376">
        <f t="shared" si="8"/>
        <v>8673910.6668129638</v>
      </c>
      <c r="G118" s="15">
        <v>90.899999999999991</v>
      </c>
      <c r="H118" s="15">
        <v>13.200000000000001</v>
      </c>
      <c r="I118" s="2">
        <v>30</v>
      </c>
      <c r="J118" s="7">
        <v>756.5</v>
      </c>
      <c r="K118" s="379">
        <v>472867.97681296407</v>
      </c>
      <c r="L118" s="7">
        <v>4357474.9632000001</v>
      </c>
      <c r="M118" s="7"/>
      <c r="N118" s="135"/>
      <c r="O118" s="7"/>
      <c r="P118" s="2"/>
      <c r="Q118" s="376">
        <f t="shared" si="9"/>
        <v>8918974.4639685303</v>
      </c>
      <c r="R118" s="7">
        <f t="shared" si="10"/>
        <v>717931.77396852989</v>
      </c>
      <c r="S118" s="139">
        <f t="shared" si="11"/>
        <v>8.7541523816714803E-2</v>
      </c>
      <c r="T118" s="139">
        <f t="shared" si="12"/>
        <v>8.7541523816714803E-2</v>
      </c>
      <c r="U118" s="4"/>
      <c r="V118" s="132"/>
      <c r="W118" s="132"/>
      <c r="X118" s="132"/>
      <c r="Y118" s="132"/>
      <c r="Z118" s="132"/>
      <c r="AA118" s="132"/>
      <c r="AB118" s="132"/>
      <c r="AC118" s="132"/>
      <c r="AD118" s="132"/>
      <c r="AE118" s="4"/>
      <c r="AF118" s="4"/>
      <c r="AG118" s="4"/>
      <c r="AH118" s="4"/>
      <c r="AI118" s="4"/>
      <c r="AJ118" s="4"/>
      <c r="AK118" s="4"/>
      <c r="AL118" s="4"/>
      <c r="AM118" s="4"/>
      <c r="AN118" s="4"/>
      <c r="AO118" s="4"/>
      <c r="AP118" s="4"/>
      <c r="AQ118" s="4"/>
      <c r="AR118" s="4"/>
      <c r="AS118" s="4"/>
      <c r="AT118" s="4"/>
      <c r="AU118" s="4"/>
      <c r="AV118" s="4"/>
      <c r="AW118" s="4"/>
      <c r="AX118" s="4"/>
      <c r="AY118" s="4"/>
      <c r="AZ118" s="4"/>
      <c r="BA118" s="4"/>
      <c r="BB118" s="4"/>
    </row>
    <row r="119" spans="1:54" s="141" customFormat="1">
      <c r="A119" s="2">
        <v>2019</v>
      </c>
      <c r="B119" s="2" t="s">
        <v>11</v>
      </c>
      <c r="C119" s="7">
        <v>8548680</v>
      </c>
      <c r="D119" s="7">
        <v>29568.800000000003</v>
      </c>
      <c r="E119" s="7">
        <v>8578248.8000000007</v>
      </c>
      <c r="F119" s="376">
        <f t="shared" si="8"/>
        <v>9055576.7191833146</v>
      </c>
      <c r="G119" s="15">
        <v>293.8</v>
      </c>
      <c r="H119" s="15">
        <v>2.1</v>
      </c>
      <c r="I119" s="2">
        <v>31</v>
      </c>
      <c r="J119" s="7">
        <v>760.7</v>
      </c>
      <c r="K119" s="379">
        <v>477327.91918331338</v>
      </c>
      <c r="L119" s="7">
        <v>4416877.5811200002</v>
      </c>
      <c r="M119" s="7"/>
      <c r="N119" s="135"/>
      <c r="O119" s="7"/>
      <c r="P119" s="2"/>
      <c r="Q119" s="376">
        <f t="shared" si="9"/>
        <v>9518302.571295552</v>
      </c>
      <c r="R119" s="7">
        <f t="shared" si="10"/>
        <v>940053.77129555121</v>
      </c>
      <c r="S119" s="139">
        <f t="shared" si="11"/>
        <v>0.10958574333907768</v>
      </c>
      <c r="T119" s="139">
        <f t="shared" si="12"/>
        <v>0.10958574333907768</v>
      </c>
      <c r="U119" s="4"/>
      <c r="V119" s="132"/>
      <c r="W119" s="132"/>
      <c r="X119" s="132"/>
      <c r="Y119" s="132"/>
      <c r="Z119" s="132"/>
      <c r="AA119" s="132"/>
      <c r="AB119" s="132"/>
      <c r="AC119" s="132"/>
      <c r="AD119" s="132"/>
      <c r="AE119" s="4"/>
      <c r="AF119" s="4"/>
      <c r="AG119" s="4"/>
      <c r="AH119" s="4"/>
      <c r="AI119" s="4"/>
      <c r="AJ119" s="4"/>
      <c r="AK119" s="4"/>
      <c r="AL119" s="4"/>
      <c r="AM119" s="4"/>
      <c r="AN119" s="4"/>
      <c r="AO119" s="4"/>
      <c r="AP119" s="4"/>
      <c r="AQ119" s="4"/>
      <c r="AR119" s="4"/>
      <c r="AS119" s="4"/>
      <c r="AT119" s="4"/>
      <c r="AU119" s="4"/>
      <c r="AV119" s="4"/>
      <c r="AW119" s="4"/>
      <c r="AX119" s="4"/>
      <c r="AY119" s="4"/>
      <c r="AZ119" s="4"/>
      <c r="BA119" s="4"/>
      <c r="BB119" s="4"/>
    </row>
    <row r="120" spans="1:54" s="141" customFormat="1">
      <c r="A120" s="2">
        <v>2019</v>
      </c>
      <c r="B120" s="2" t="s">
        <v>12</v>
      </c>
      <c r="C120" s="7">
        <v>8807700</v>
      </c>
      <c r="D120" s="7">
        <v>8600.64</v>
      </c>
      <c r="E120" s="7">
        <v>8816300.6400000006</v>
      </c>
      <c r="F120" s="376">
        <f t="shared" si="8"/>
        <v>9298088.501553664</v>
      </c>
      <c r="G120" s="15">
        <v>576.79999999999984</v>
      </c>
      <c r="H120" s="15">
        <v>0</v>
      </c>
      <c r="I120" s="2">
        <v>30</v>
      </c>
      <c r="J120" s="7">
        <v>758.4</v>
      </c>
      <c r="K120" s="379">
        <v>481787.86155366275</v>
      </c>
      <c r="L120" s="7">
        <v>4037559.1459200005</v>
      </c>
      <c r="M120" s="7"/>
      <c r="N120" s="135"/>
      <c r="O120" s="7"/>
      <c r="P120" s="2"/>
      <c r="Q120" s="376">
        <f t="shared" si="9"/>
        <v>9719486.6607257873</v>
      </c>
      <c r="R120" s="7">
        <f t="shared" si="10"/>
        <v>903186.02072578669</v>
      </c>
      <c r="S120" s="139">
        <f t="shared" si="11"/>
        <v>0.10244501153102541</v>
      </c>
      <c r="T120" s="139">
        <f t="shared" si="12"/>
        <v>0.10244501153102541</v>
      </c>
      <c r="U120" s="4"/>
      <c r="V120" s="132"/>
      <c r="W120" s="132"/>
      <c r="X120" s="132"/>
      <c r="Y120" s="132"/>
      <c r="Z120" s="132"/>
      <c r="AA120" s="132"/>
      <c r="AB120" s="132"/>
      <c r="AC120" s="132"/>
      <c r="AD120" s="132"/>
      <c r="AE120" s="4"/>
      <c r="AF120" s="4"/>
      <c r="AG120" s="4"/>
      <c r="AH120" s="4"/>
      <c r="AI120" s="4"/>
      <c r="AJ120" s="4"/>
      <c r="AK120" s="4"/>
      <c r="AL120" s="4"/>
      <c r="AM120" s="4"/>
      <c r="AN120" s="4"/>
      <c r="AO120" s="4"/>
      <c r="AP120" s="4"/>
      <c r="AQ120" s="4"/>
      <c r="AR120" s="4"/>
      <c r="AS120" s="4"/>
      <c r="AT120" s="4"/>
      <c r="AU120" s="4"/>
      <c r="AV120" s="4"/>
      <c r="AW120" s="4"/>
      <c r="AX120" s="4"/>
      <c r="AY120" s="4"/>
      <c r="AZ120" s="4"/>
      <c r="BA120" s="4"/>
      <c r="BB120" s="4"/>
    </row>
    <row r="121" spans="1:54" s="141" customFormat="1">
      <c r="A121" s="142">
        <v>2019</v>
      </c>
      <c r="B121" s="142" t="s">
        <v>13</v>
      </c>
      <c r="C121" s="143">
        <v>8708680</v>
      </c>
      <c r="D121" s="143">
        <v>5498.57</v>
      </c>
      <c r="E121" s="143">
        <v>8714178.5700000003</v>
      </c>
      <c r="F121" s="376">
        <f t="shared" si="8"/>
        <v>9200426.3739240132</v>
      </c>
      <c r="G121" s="144">
        <v>647.29999999999995</v>
      </c>
      <c r="H121" s="144">
        <v>0</v>
      </c>
      <c r="I121" s="142">
        <v>31</v>
      </c>
      <c r="J121" s="143">
        <v>756.5</v>
      </c>
      <c r="K121" s="380">
        <v>486247.80392401206</v>
      </c>
      <c r="L121" s="143">
        <v>3487388.6937600006</v>
      </c>
      <c r="M121" s="143"/>
      <c r="N121" s="145"/>
      <c r="O121" s="143"/>
      <c r="P121" s="142"/>
      <c r="Q121" s="376">
        <f t="shared" si="9"/>
        <v>9476914.78109763</v>
      </c>
      <c r="R121" s="143">
        <f t="shared" si="10"/>
        <v>762736.21109762974</v>
      </c>
      <c r="S121" s="161">
        <f t="shared" si="11"/>
        <v>8.7528182372056867E-2</v>
      </c>
      <c r="T121" s="161">
        <f t="shared" si="12"/>
        <v>8.7528182372056867E-2</v>
      </c>
      <c r="U121" s="146"/>
      <c r="V121" s="132"/>
      <c r="W121" s="132"/>
      <c r="X121" s="132"/>
      <c r="Y121" s="132"/>
      <c r="Z121" s="132"/>
      <c r="AA121" s="132"/>
      <c r="AB121" s="132"/>
      <c r="AC121" s="132"/>
      <c r="AD121" s="132"/>
      <c r="AE121" s="4"/>
      <c r="AF121" s="4"/>
      <c r="AG121" s="4"/>
      <c r="AH121" s="4"/>
      <c r="AI121" s="4"/>
      <c r="AJ121" s="4"/>
      <c r="AK121" s="4"/>
      <c r="AL121" s="4"/>
      <c r="AM121" s="4"/>
      <c r="AN121" s="4"/>
      <c r="AO121" s="4"/>
      <c r="AP121" s="4"/>
      <c r="AQ121" s="4"/>
      <c r="AR121" s="4"/>
      <c r="AS121" s="4"/>
      <c r="AT121" s="4"/>
      <c r="AU121" s="4"/>
      <c r="AV121" s="4"/>
      <c r="AW121" s="4"/>
      <c r="AX121" s="4"/>
      <c r="AY121" s="4"/>
      <c r="AZ121" s="4"/>
      <c r="BA121" s="4"/>
      <c r="BB121" s="4"/>
    </row>
    <row r="122" spans="1:54" s="141" customFormat="1">
      <c r="A122" s="2">
        <v>2020</v>
      </c>
      <c r="B122" s="2" t="s">
        <v>2</v>
      </c>
      <c r="C122" s="15"/>
      <c r="D122" s="15"/>
      <c r="E122" s="7"/>
      <c r="F122" s="15"/>
      <c r="G122" s="15">
        <v>789.65166666666664</v>
      </c>
      <c r="H122" s="15">
        <v>0</v>
      </c>
      <c r="I122" s="2">
        <v>31</v>
      </c>
      <c r="J122" s="7">
        <v>749.30128291316532</v>
      </c>
      <c r="K122" s="379">
        <v>484256.91953879548</v>
      </c>
      <c r="L122" s="7">
        <v>4331189.5934509002</v>
      </c>
      <c r="M122" s="7"/>
      <c r="N122" s="135"/>
      <c r="O122" s="7"/>
      <c r="P122" s="2"/>
      <c r="Q122" s="376">
        <f t="shared" si="9"/>
        <v>10683524.134147737</v>
      </c>
      <c r="R122" s="7"/>
      <c r="S122" s="139"/>
      <c r="T122" s="139"/>
      <c r="U122" s="4"/>
      <c r="V122" s="132"/>
      <c r="W122" s="132"/>
      <c r="X122" s="132"/>
      <c r="Y122" s="132"/>
      <c r="Z122" s="132"/>
      <c r="AA122" s="132"/>
      <c r="AB122" s="132"/>
      <c r="AC122" s="132"/>
      <c r="AD122" s="132"/>
      <c r="AE122" s="4"/>
      <c r="AF122" s="4"/>
      <c r="AG122" s="4"/>
      <c r="AH122" s="4"/>
      <c r="AI122" s="4"/>
      <c r="AJ122" s="4"/>
      <c r="AK122" s="4"/>
      <c r="AL122" s="4"/>
      <c r="AM122" s="4"/>
      <c r="AN122" s="4"/>
      <c r="AO122" s="4"/>
      <c r="AP122" s="4"/>
      <c r="AQ122" s="4"/>
      <c r="AR122" s="4"/>
      <c r="AS122" s="4"/>
      <c r="AT122" s="4"/>
      <c r="AU122" s="4"/>
      <c r="AV122" s="4"/>
      <c r="AW122" s="4"/>
      <c r="AX122" s="4"/>
      <c r="AY122" s="4"/>
      <c r="AZ122" s="4"/>
      <c r="BA122" s="4"/>
      <c r="BB122" s="4"/>
    </row>
    <row r="123" spans="1:54" s="141" customFormat="1">
      <c r="A123" s="2">
        <v>2020</v>
      </c>
      <c r="B123" s="2" t="s">
        <v>3</v>
      </c>
      <c r="C123" s="15"/>
      <c r="D123" s="15"/>
      <c r="E123" s="7"/>
      <c r="F123" s="15"/>
      <c r="G123" s="15">
        <v>698.95166666666671</v>
      </c>
      <c r="H123" s="15">
        <v>0</v>
      </c>
      <c r="I123" s="2">
        <v>29</v>
      </c>
      <c r="J123" s="7">
        <v>749.79574444444438</v>
      </c>
      <c r="K123" s="379">
        <v>482266.03515357891</v>
      </c>
      <c r="L123" s="7">
        <v>4067029.3856538995</v>
      </c>
      <c r="M123" s="7"/>
      <c r="N123" s="135"/>
      <c r="O123" s="7"/>
      <c r="P123" s="2"/>
      <c r="Q123" s="376">
        <f t="shared" si="9"/>
        <v>9931889.3453786448</v>
      </c>
      <c r="R123" s="7"/>
      <c r="S123" s="139"/>
      <c r="T123" s="139"/>
      <c r="U123" s="4"/>
      <c r="V123" s="132"/>
      <c r="W123" s="132"/>
      <c r="X123" s="132"/>
      <c r="Y123" s="132"/>
      <c r="Z123" s="132"/>
      <c r="AA123" s="132"/>
      <c r="AB123" s="132"/>
      <c r="AC123" s="132"/>
      <c r="AD123" s="132"/>
      <c r="AE123" s="4"/>
      <c r="AF123" s="4"/>
      <c r="AG123" s="4"/>
      <c r="AH123" s="4"/>
      <c r="AI123" s="4"/>
      <c r="AJ123" s="4"/>
      <c r="AK123" s="4"/>
      <c r="AL123" s="4"/>
      <c r="AM123" s="4"/>
      <c r="AN123" s="4"/>
      <c r="AO123" s="4"/>
      <c r="AP123" s="4"/>
      <c r="AQ123" s="4"/>
      <c r="AR123" s="4"/>
      <c r="AS123" s="4"/>
      <c r="AT123" s="4"/>
      <c r="AU123" s="4"/>
      <c r="AV123" s="4"/>
      <c r="AW123" s="4"/>
      <c r="AX123" s="4"/>
      <c r="AY123" s="4"/>
      <c r="AZ123" s="4"/>
      <c r="BA123" s="4"/>
      <c r="BB123" s="4"/>
    </row>
    <row r="124" spans="1:54" s="141" customFormat="1">
      <c r="A124" s="2">
        <v>2020</v>
      </c>
      <c r="B124" s="2" t="s">
        <v>4</v>
      </c>
      <c r="C124" s="15"/>
      <c r="D124" s="15"/>
      <c r="E124" s="7"/>
      <c r="F124" s="15"/>
      <c r="G124" s="15">
        <v>614.92805555555549</v>
      </c>
      <c r="H124" s="15">
        <v>0.34</v>
      </c>
      <c r="I124" s="2">
        <v>31</v>
      </c>
      <c r="J124" s="7">
        <v>750.20510485467389</v>
      </c>
      <c r="K124" s="379">
        <v>480275.15076836233</v>
      </c>
      <c r="L124" s="7">
        <v>4470447.0035923002</v>
      </c>
      <c r="M124" s="7"/>
      <c r="N124" s="135"/>
      <c r="O124" s="7"/>
      <c r="P124" s="2"/>
      <c r="Q124" s="376">
        <f t="shared" si="9"/>
        <v>10375977.422247745</v>
      </c>
      <c r="R124" s="7"/>
      <c r="S124" s="139"/>
      <c r="T124" s="139"/>
      <c r="U124" s="4"/>
      <c r="V124" s="132"/>
      <c r="W124" s="132"/>
      <c r="X124" s="132"/>
      <c r="Y124" s="132"/>
      <c r="Z124" s="132"/>
      <c r="AA124" s="132"/>
      <c r="AB124" s="132"/>
      <c r="AC124" s="132"/>
      <c r="AD124" s="132"/>
      <c r="AE124" s="4"/>
      <c r="AF124" s="4"/>
      <c r="AG124" s="4"/>
      <c r="AH124" s="4"/>
      <c r="AI124" s="4"/>
      <c r="AJ124" s="4"/>
      <c r="AK124" s="4"/>
      <c r="AL124" s="4"/>
      <c r="AM124" s="4"/>
      <c r="AN124" s="4"/>
      <c r="AO124" s="4"/>
      <c r="AP124" s="4"/>
      <c r="AQ124" s="4"/>
      <c r="AR124" s="4"/>
      <c r="AS124" s="4"/>
      <c r="AT124" s="4"/>
      <c r="AU124" s="4"/>
      <c r="AV124" s="4"/>
      <c r="AW124" s="4"/>
      <c r="AX124" s="4"/>
      <c r="AY124" s="4"/>
      <c r="AZ124" s="4"/>
      <c r="BA124" s="4"/>
      <c r="BB124" s="4"/>
    </row>
    <row r="125" spans="1:54" s="141" customFormat="1">
      <c r="A125" s="2">
        <v>2020</v>
      </c>
      <c r="B125" s="2" t="s">
        <v>5</v>
      </c>
      <c r="C125" s="15"/>
      <c r="D125" s="15"/>
      <c r="E125" s="7"/>
      <c r="F125" s="15"/>
      <c r="G125" s="15">
        <v>394.48666666666668</v>
      </c>
      <c r="H125" s="15">
        <v>0.1</v>
      </c>
      <c r="I125" s="2">
        <v>30</v>
      </c>
      <c r="J125" s="7">
        <v>750.52672584533764</v>
      </c>
      <c r="K125" s="379">
        <v>478284.2663831457</v>
      </c>
      <c r="L125" s="7">
        <v>4248550.5911507001</v>
      </c>
      <c r="M125" s="7"/>
      <c r="N125" s="135"/>
      <c r="O125" s="7"/>
      <c r="P125" s="2"/>
      <c r="Q125" s="376">
        <f t="shared" si="9"/>
        <v>9456162.2443983033</v>
      </c>
      <c r="R125" s="7"/>
      <c r="S125" s="139"/>
      <c r="T125" s="139"/>
      <c r="U125" s="4"/>
      <c r="V125" s="132"/>
      <c r="W125" s="132"/>
      <c r="X125" s="132"/>
      <c r="Y125" s="132"/>
      <c r="Z125" s="132"/>
      <c r="AA125" s="132"/>
      <c r="AB125" s="132"/>
      <c r="AC125" s="132"/>
      <c r="AD125" s="132"/>
      <c r="AE125" s="4"/>
      <c r="AF125" s="4"/>
      <c r="AG125" s="4"/>
      <c r="AH125" s="4"/>
      <c r="AI125" s="4"/>
      <c r="AJ125" s="4"/>
      <c r="AK125" s="4"/>
      <c r="AL125" s="4"/>
      <c r="AM125" s="4"/>
      <c r="AN125" s="4"/>
      <c r="AO125" s="4"/>
      <c r="AP125" s="4"/>
      <c r="AQ125" s="4"/>
      <c r="AR125" s="4"/>
      <c r="AS125" s="4"/>
      <c r="AT125" s="4"/>
      <c r="AU125" s="4"/>
      <c r="AV125" s="4"/>
      <c r="AW125" s="4"/>
      <c r="AX125" s="4"/>
      <c r="AY125" s="4"/>
      <c r="AZ125" s="4"/>
      <c r="BA125" s="4"/>
      <c r="BB125" s="4"/>
    </row>
    <row r="126" spans="1:54" s="141" customFormat="1">
      <c r="A126" s="2">
        <v>2020</v>
      </c>
      <c r="B126" s="2" t="s">
        <v>6</v>
      </c>
      <c r="C126" s="15"/>
      <c r="D126" s="15"/>
      <c r="E126" s="7"/>
      <c r="F126" s="15"/>
      <c r="G126" s="15">
        <v>168.45166666666665</v>
      </c>
      <c r="H126" s="15">
        <v>16.080000000000002</v>
      </c>
      <c r="I126" s="2">
        <v>31</v>
      </c>
      <c r="J126" s="7">
        <v>750.8775667913535</v>
      </c>
      <c r="K126" s="379">
        <v>476293.38199792913</v>
      </c>
      <c r="L126" s="7">
        <v>4499949.726133001</v>
      </c>
      <c r="M126" s="7"/>
      <c r="N126" s="135"/>
      <c r="O126" s="7"/>
      <c r="P126" s="2"/>
      <c r="Q126" s="376">
        <f t="shared" si="9"/>
        <v>9414265.379953973</v>
      </c>
      <c r="R126" s="7"/>
      <c r="S126" s="139"/>
      <c r="T126" s="139"/>
      <c r="U126" s="4"/>
      <c r="V126" s="132"/>
      <c r="W126" s="132"/>
      <c r="X126" s="132"/>
      <c r="Y126" s="132"/>
      <c r="Z126" s="132"/>
      <c r="AA126" s="132"/>
      <c r="AB126" s="132"/>
      <c r="AC126" s="132"/>
      <c r="AD126" s="132"/>
      <c r="AE126" s="4"/>
      <c r="AF126" s="4"/>
      <c r="AG126" s="4"/>
      <c r="AH126" s="4"/>
      <c r="AI126" s="4"/>
      <c r="AJ126" s="4"/>
      <c r="AK126" s="4"/>
      <c r="AL126" s="4"/>
      <c r="AM126" s="4"/>
      <c r="AN126" s="4"/>
      <c r="AO126" s="4"/>
      <c r="AP126" s="4"/>
      <c r="AQ126" s="4"/>
      <c r="AR126" s="4"/>
      <c r="AS126" s="4"/>
      <c r="AT126" s="4"/>
      <c r="AU126" s="4"/>
      <c r="AV126" s="4"/>
      <c r="AW126" s="4"/>
      <c r="AX126" s="4"/>
      <c r="AY126" s="4"/>
      <c r="AZ126" s="4"/>
      <c r="BA126" s="4"/>
      <c r="BB126" s="4"/>
    </row>
    <row r="127" spans="1:54" s="141" customFormat="1">
      <c r="A127" s="2">
        <v>2020</v>
      </c>
      <c r="B127" s="2" t="s">
        <v>7</v>
      </c>
      <c r="C127" s="15"/>
      <c r="D127" s="15"/>
      <c r="E127" s="7"/>
      <c r="F127" s="15"/>
      <c r="G127" s="15">
        <v>57.868333333333339</v>
      </c>
      <c r="H127" s="15">
        <v>28.274999999999999</v>
      </c>
      <c r="I127" s="2">
        <v>30</v>
      </c>
      <c r="J127" s="7">
        <v>751.35929288689545</v>
      </c>
      <c r="K127" s="379">
        <v>474302.49761271256</v>
      </c>
      <c r="L127" s="7">
        <v>4407679.0414789002</v>
      </c>
      <c r="M127" s="7"/>
      <c r="N127" s="135"/>
      <c r="O127" s="7"/>
      <c r="P127" s="2"/>
      <c r="Q127" s="376">
        <f t="shared" si="9"/>
        <v>9034353.3814025782</v>
      </c>
      <c r="R127" s="7"/>
      <c r="S127" s="139"/>
      <c r="T127" s="139"/>
      <c r="U127" s="4"/>
      <c r="V127" s="132"/>
      <c r="W127" s="132"/>
      <c r="X127" s="132"/>
      <c r="Y127" s="132"/>
      <c r="Z127" s="132"/>
      <c r="AA127" s="132"/>
      <c r="AB127" s="132"/>
      <c r="AC127" s="132"/>
      <c r="AD127" s="132"/>
      <c r="AE127" s="4"/>
      <c r="AF127" s="4"/>
      <c r="AG127" s="4"/>
      <c r="AH127" s="4"/>
      <c r="AI127" s="4"/>
      <c r="AJ127" s="4"/>
      <c r="AK127" s="4"/>
      <c r="AL127" s="4"/>
      <c r="AM127" s="4"/>
      <c r="AN127" s="4"/>
      <c r="AO127" s="4"/>
      <c r="AP127" s="4"/>
      <c r="AQ127" s="4"/>
      <c r="AR127" s="4"/>
      <c r="AS127" s="4"/>
      <c r="AT127" s="4"/>
      <c r="AU127" s="4"/>
      <c r="AV127" s="4"/>
      <c r="AW127" s="4"/>
      <c r="AX127" s="4"/>
      <c r="AY127" s="4"/>
      <c r="AZ127" s="4"/>
      <c r="BA127" s="4"/>
      <c r="BB127" s="4"/>
    </row>
    <row r="128" spans="1:54" s="141" customFormat="1">
      <c r="A128" s="2">
        <v>2020</v>
      </c>
      <c r="B128" s="2" t="s">
        <v>8</v>
      </c>
      <c r="C128" s="15"/>
      <c r="D128" s="15"/>
      <c r="E128" s="7"/>
      <c r="F128" s="15"/>
      <c r="G128" s="15">
        <v>17.11</v>
      </c>
      <c r="H128" s="15">
        <v>72.36</v>
      </c>
      <c r="I128" s="2">
        <v>31</v>
      </c>
      <c r="J128" s="7">
        <v>752.07938286344097</v>
      </c>
      <c r="K128" s="379">
        <v>472311.61322749598</v>
      </c>
      <c r="L128" s="7">
        <v>4179289.9717442007</v>
      </c>
      <c r="M128" s="7"/>
      <c r="N128" s="135"/>
      <c r="O128" s="7"/>
      <c r="P128" s="2"/>
      <c r="Q128" s="376">
        <f t="shared" si="9"/>
        <v>9277356.0525066294</v>
      </c>
      <c r="R128" s="7"/>
      <c r="S128" s="139"/>
      <c r="T128" s="139"/>
      <c r="U128" s="4"/>
      <c r="V128" s="132"/>
      <c r="W128" s="132"/>
      <c r="X128" s="132"/>
      <c r="Y128" s="132"/>
      <c r="Z128" s="132"/>
      <c r="AA128" s="132"/>
      <c r="AB128" s="132"/>
      <c r="AC128" s="132"/>
      <c r="AD128" s="132"/>
      <c r="AE128" s="4"/>
      <c r="AF128" s="4"/>
      <c r="AG128" s="4"/>
      <c r="AH128" s="4"/>
      <c r="AI128" s="4"/>
      <c r="AJ128" s="4"/>
      <c r="AK128" s="4"/>
      <c r="AL128" s="4"/>
      <c r="AM128" s="4"/>
      <c r="AN128" s="4"/>
      <c r="AO128" s="4"/>
      <c r="AP128" s="4"/>
      <c r="AQ128" s="4"/>
      <c r="AR128" s="4"/>
      <c r="AS128" s="4"/>
      <c r="AT128" s="4"/>
      <c r="AU128" s="4"/>
      <c r="AV128" s="4"/>
      <c r="AW128" s="4"/>
      <c r="AX128" s="4"/>
      <c r="AY128" s="4"/>
      <c r="AZ128" s="4"/>
      <c r="BA128" s="4"/>
      <c r="BB128" s="4"/>
    </row>
    <row r="129" spans="1:54" s="141" customFormat="1">
      <c r="A129" s="2">
        <v>2020</v>
      </c>
      <c r="B129" s="2" t="s">
        <v>9</v>
      </c>
      <c r="C129" s="15"/>
      <c r="D129" s="15"/>
      <c r="E129" s="7"/>
      <c r="F129" s="15"/>
      <c r="G129" s="15">
        <v>24.599999999999998</v>
      </c>
      <c r="H129" s="15">
        <v>52.274999999999999</v>
      </c>
      <c r="I129" s="2">
        <v>31</v>
      </c>
      <c r="J129" s="7">
        <v>752.99920722874788</v>
      </c>
      <c r="K129" s="379">
        <v>470320.72884227935</v>
      </c>
      <c r="L129" s="7">
        <v>4756005.4147161003</v>
      </c>
      <c r="M129" s="7"/>
      <c r="N129" s="135"/>
      <c r="O129" s="7"/>
      <c r="P129" s="2"/>
      <c r="Q129" s="376">
        <f t="shared" si="9"/>
        <v>9669303.1669078451</v>
      </c>
      <c r="R129" s="7"/>
      <c r="S129" s="139"/>
      <c r="T129" s="139"/>
      <c r="U129" s="4"/>
      <c r="V129" s="132"/>
      <c r="W129" s="132"/>
      <c r="X129" s="132"/>
      <c r="Y129" s="132"/>
      <c r="Z129" s="132"/>
      <c r="AA129" s="132"/>
      <c r="AB129" s="132"/>
      <c r="AC129" s="132"/>
      <c r="AD129" s="132"/>
      <c r="AE129" s="4"/>
      <c r="AF129" s="4"/>
      <c r="AG129" s="4"/>
      <c r="AH129" s="4"/>
      <c r="AI129" s="4"/>
      <c r="AJ129" s="4"/>
      <c r="AK129" s="4"/>
      <c r="AL129" s="4"/>
      <c r="AM129" s="4"/>
      <c r="AN129" s="4"/>
      <c r="AO129" s="4"/>
      <c r="AP129" s="4"/>
      <c r="AQ129" s="4"/>
      <c r="AR129" s="4"/>
      <c r="AS129" s="4"/>
      <c r="AT129" s="4"/>
      <c r="AU129" s="4"/>
      <c r="AV129" s="4"/>
      <c r="AW129" s="4"/>
      <c r="AX129" s="4"/>
      <c r="AY129" s="4"/>
      <c r="AZ129" s="4"/>
      <c r="BA129" s="4"/>
      <c r="BB129" s="4"/>
    </row>
    <row r="130" spans="1:54" s="141" customFormat="1">
      <c r="A130" s="2">
        <v>2020</v>
      </c>
      <c r="B130" s="2" t="s">
        <v>10</v>
      </c>
      <c r="C130" s="15"/>
      <c r="D130" s="15"/>
      <c r="E130" s="7"/>
      <c r="F130" s="15"/>
      <c r="G130" s="15">
        <v>102.41333333333333</v>
      </c>
      <c r="H130" s="15">
        <v>25.174999999999997</v>
      </c>
      <c r="I130" s="2">
        <v>30</v>
      </c>
      <c r="J130" s="7">
        <v>753.9527122733756</v>
      </c>
      <c r="K130" s="379">
        <v>468329.84445706278</v>
      </c>
      <c r="L130" s="7">
        <v>4468921.3708229009</v>
      </c>
      <c r="M130" s="7"/>
      <c r="N130" s="135"/>
      <c r="O130" s="7"/>
      <c r="P130" s="2"/>
      <c r="Q130" s="376">
        <f t="shared" si="9"/>
        <v>9180564.1706686225</v>
      </c>
      <c r="R130" s="7"/>
      <c r="S130" s="139"/>
      <c r="T130" s="139"/>
      <c r="U130" s="4"/>
      <c r="V130" s="132"/>
      <c r="W130" s="132"/>
      <c r="X130" s="132"/>
      <c r="Y130" s="132"/>
      <c r="Z130" s="132"/>
      <c r="AA130" s="132"/>
      <c r="AB130" s="132"/>
      <c r="AC130" s="132"/>
      <c r="AD130" s="132"/>
      <c r="AE130" s="4"/>
      <c r="AF130" s="4"/>
      <c r="AG130" s="4"/>
      <c r="AH130" s="4"/>
      <c r="AI130" s="4"/>
      <c r="AJ130" s="4"/>
      <c r="AK130" s="4"/>
      <c r="AL130" s="4"/>
      <c r="AM130" s="4"/>
      <c r="AN130" s="4"/>
      <c r="AO130" s="4"/>
      <c r="AP130" s="4"/>
      <c r="AQ130" s="4"/>
      <c r="AR130" s="4"/>
      <c r="AS130" s="4"/>
      <c r="AT130" s="4"/>
      <c r="AU130" s="4"/>
      <c r="AV130" s="4"/>
      <c r="AW130" s="4"/>
      <c r="AX130" s="4"/>
      <c r="AY130" s="4"/>
      <c r="AZ130" s="4"/>
      <c r="BA130" s="4"/>
      <c r="BB130" s="4"/>
    </row>
    <row r="131" spans="1:54" s="141" customFormat="1">
      <c r="A131" s="2">
        <v>2020</v>
      </c>
      <c r="B131" s="2" t="s">
        <v>11</v>
      </c>
      <c r="C131" s="15"/>
      <c r="D131" s="15"/>
      <c r="E131" s="7"/>
      <c r="F131" s="15"/>
      <c r="G131" s="15">
        <v>283.29888888888888</v>
      </c>
      <c r="H131" s="15">
        <v>1.32</v>
      </c>
      <c r="I131" s="2">
        <v>31</v>
      </c>
      <c r="J131" s="7">
        <v>754.78606837947939</v>
      </c>
      <c r="K131" s="379">
        <v>466338.9600718462</v>
      </c>
      <c r="L131" s="7">
        <v>4611450.9819984008</v>
      </c>
      <c r="M131" s="7"/>
      <c r="N131" s="135"/>
      <c r="O131" s="7"/>
      <c r="P131" s="2"/>
      <c r="Q131" s="376">
        <f t="shared" ref="Q131:Q145" si="13">$W$17+$W$18*G131+$W$19*H131+$W$20*I131+$W$21*J131+$W$22+L131</f>
        <v>9674137.8696453366</v>
      </c>
      <c r="R131" s="7"/>
      <c r="S131" s="139"/>
      <c r="T131" s="139"/>
      <c r="U131" s="4"/>
      <c r="V131" s="132"/>
      <c r="W131" s="132"/>
      <c r="X131" s="132"/>
      <c r="Y131" s="132"/>
      <c r="Z131" s="132"/>
      <c r="AA131" s="132"/>
      <c r="AB131" s="132"/>
      <c r="AC131" s="132"/>
      <c r="AD131" s="132"/>
      <c r="AE131" s="4"/>
      <c r="AF131" s="4"/>
      <c r="AG131" s="4"/>
      <c r="AH131" s="4"/>
      <c r="AI131" s="4"/>
      <c r="AJ131" s="4"/>
      <c r="AK131" s="4"/>
      <c r="AL131" s="4"/>
      <c r="AM131" s="4"/>
      <c r="AN131" s="4"/>
      <c r="AO131" s="4"/>
      <c r="AP131" s="4"/>
      <c r="AQ131" s="4"/>
      <c r="AR131" s="4"/>
      <c r="AS131" s="4"/>
      <c r="AT131" s="4"/>
      <c r="AU131" s="4"/>
      <c r="AV131" s="4"/>
      <c r="AW131" s="4"/>
      <c r="AX131" s="4"/>
      <c r="AY131" s="4"/>
      <c r="AZ131" s="4"/>
      <c r="BA131" s="4"/>
      <c r="BB131" s="4"/>
    </row>
    <row r="132" spans="1:54" s="141" customFormat="1">
      <c r="A132" s="2">
        <v>2020</v>
      </c>
      <c r="B132" s="2" t="s">
        <v>12</v>
      </c>
      <c r="C132" s="15"/>
      <c r="D132" s="15"/>
      <c r="E132" s="7"/>
      <c r="F132" s="15"/>
      <c r="G132" s="15">
        <v>487.20722222222219</v>
      </c>
      <c r="H132" s="15">
        <v>0</v>
      </c>
      <c r="I132" s="2">
        <v>30</v>
      </c>
      <c r="J132" s="7">
        <v>755.47488395567143</v>
      </c>
      <c r="K132" s="379">
        <v>464348.07568662963</v>
      </c>
      <c r="L132" s="7">
        <v>4297407.0614971006</v>
      </c>
      <c r="M132" s="7"/>
      <c r="N132" s="135"/>
      <c r="O132" s="7"/>
      <c r="P132" s="2"/>
      <c r="Q132" s="376">
        <f t="shared" si="13"/>
        <v>9746334.2327089086</v>
      </c>
      <c r="R132" s="7"/>
      <c r="S132" s="139"/>
      <c r="T132" s="139"/>
      <c r="U132" s="4"/>
      <c r="V132" s="132"/>
      <c r="W132" s="132"/>
      <c r="X132" s="132"/>
      <c r="Y132" s="132"/>
      <c r="Z132" s="132"/>
      <c r="AA132" s="132"/>
      <c r="AB132" s="132"/>
      <c r="AC132" s="132"/>
      <c r="AD132" s="132"/>
      <c r="AE132" s="4"/>
      <c r="AF132" s="4"/>
      <c r="AG132" s="4"/>
      <c r="AH132" s="4"/>
      <c r="AI132" s="4"/>
      <c r="AJ132" s="4"/>
      <c r="AK132" s="4"/>
      <c r="AL132" s="4"/>
      <c r="AM132" s="4"/>
      <c r="AN132" s="4"/>
      <c r="AO132" s="4"/>
      <c r="AP132" s="4"/>
      <c r="AQ132" s="4"/>
      <c r="AR132" s="4"/>
      <c r="AS132" s="4"/>
      <c r="AT132" s="4"/>
      <c r="AU132" s="4"/>
      <c r="AV132" s="4"/>
      <c r="AW132" s="4"/>
      <c r="AX132" s="4"/>
      <c r="AY132" s="4"/>
      <c r="AZ132" s="4"/>
      <c r="BA132" s="4"/>
      <c r="BB132" s="4"/>
    </row>
    <row r="133" spans="1:54" s="141" customFormat="1">
      <c r="A133" s="142">
        <v>2020</v>
      </c>
      <c r="B133" s="142" t="s">
        <v>13</v>
      </c>
      <c r="C133" s="144"/>
      <c r="D133" s="144"/>
      <c r="E133" s="143"/>
      <c r="F133" s="144"/>
      <c r="G133" s="144">
        <v>655.25333333333333</v>
      </c>
      <c r="H133" s="144">
        <v>0</v>
      </c>
      <c r="I133" s="142">
        <v>31</v>
      </c>
      <c r="J133" s="143">
        <v>755.54761828564449</v>
      </c>
      <c r="K133" s="380">
        <v>462357.191301413</v>
      </c>
      <c r="L133" s="143">
        <v>3758861.8357894002</v>
      </c>
      <c r="M133" s="143"/>
      <c r="N133" s="145"/>
      <c r="O133" s="143"/>
      <c r="P133" s="142"/>
      <c r="Q133" s="376">
        <f t="shared" si="13"/>
        <v>9768314.7321448307</v>
      </c>
      <c r="R133" s="143"/>
      <c r="S133" s="161"/>
      <c r="T133" s="161"/>
      <c r="U133" s="146"/>
      <c r="V133" s="132"/>
      <c r="W133" s="132"/>
      <c r="X133" s="132"/>
      <c r="Y133" s="132"/>
      <c r="Z133" s="132"/>
      <c r="AA133" s="132"/>
      <c r="AB133" s="132"/>
      <c r="AC133" s="132"/>
      <c r="AD133" s="132"/>
      <c r="AE133" s="4"/>
      <c r="AF133" s="4"/>
      <c r="AG133" s="4"/>
      <c r="AH133" s="4"/>
      <c r="AI133" s="4"/>
      <c r="AJ133" s="4"/>
      <c r="AK133" s="4"/>
      <c r="AL133" s="4"/>
      <c r="AM133" s="4"/>
      <c r="AN133" s="4"/>
      <c r="AO133" s="4"/>
      <c r="AP133" s="4"/>
      <c r="AQ133" s="4"/>
      <c r="AR133" s="4"/>
      <c r="AS133" s="4"/>
      <c r="AT133" s="4"/>
      <c r="AU133" s="4"/>
      <c r="AV133" s="4"/>
      <c r="AW133" s="4"/>
      <c r="AX133" s="4"/>
      <c r="AY133" s="4"/>
      <c r="AZ133" s="4"/>
      <c r="BA133" s="4"/>
      <c r="BB133" s="4"/>
    </row>
    <row r="134" spans="1:54" s="141" customFormat="1">
      <c r="A134" s="2">
        <v>2021</v>
      </c>
      <c r="B134" s="2" t="s">
        <v>2</v>
      </c>
      <c r="C134" s="15"/>
      <c r="D134" s="15"/>
      <c r="E134" s="7"/>
      <c r="F134" s="15"/>
      <c r="G134" s="15">
        <v>789.46683333333328</v>
      </c>
      <c r="H134" s="15">
        <v>0</v>
      </c>
      <c r="I134" s="2">
        <v>31</v>
      </c>
      <c r="J134" s="7">
        <v>756.09817980310584</v>
      </c>
      <c r="K134" s="379">
        <v>463519.20283448428</v>
      </c>
      <c r="L134" s="7">
        <v>4415578.9894501893</v>
      </c>
      <c r="M134" s="7"/>
      <c r="N134" s="135"/>
      <c r="O134" s="7"/>
      <c r="P134" s="2"/>
      <c r="Q134" s="376">
        <f>$W$17+$W$18*G134+$W$19*H134+$W$20*I134+$W$21*J134+$W$22+L134</f>
        <v>10771682.285958339</v>
      </c>
      <c r="R134" s="7"/>
      <c r="S134" s="139"/>
      <c r="T134" s="139"/>
      <c r="U134" s="4"/>
      <c r="V134" s="132"/>
      <c r="W134" s="132"/>
      <c r="X134" s="132"/>
      <c r="Y134" s="132"/>
      <c r="Z134" s="132"/>
      <c r="AA134" s="132"/>
      <c r="AB134" s="132"/>
      <c r="AC134" s="132"/>
      <c r="AD134" s="132"/>
      <c r="AE134" s="4"/>
      <c r="AF134" s="4"/>
      <c r="AG134" s="4"/>
      <c r="AH134" s="4"/>
      <c r="AI134" s="4"/>
      <c r="AJ134" s="4"/>
      <c r="AK134" s="4"/>
      <c r="AL134" s="4"/>
      <c r="AM134" s="4"/>
      <c r="AN134" s="4"/>
      <c r="AO134" s="4"/>
      <c r="AP134" s="4"/>
      <c r="AQ134" s="4"/>
      <c r="AR134" s="4"/>
      <c r="AS134" s="4"/>
      <c r="AT134" s="4"/>
      <c r="AU134" s="4"/>
      <c r="AV134" s="4"/>
      <c r="AW134" s="4"/>
      <c r="AX134" s="4"/>
      <c r="AY134" s="4"/>
      <c r="AZ134" s="4"/>
      <c r="BA134" s="4"/>
      <c r="BB134" s="4"/>
    </row>
    <row r="135" spans="1:54" s="141" customFormat="1">
      <c r="A135" s="2">
        <v>2021</v>
      </c>
      <c r="B135" s="2" t="s">
        <v>3</v>
      </c>
      <c r="C135" s="15"/>
      <c r="D135" s="15"/>
      <c r="E135" s="7"/>
      <c r="F135" s="15"/>
      <c r="G135" s="15">
        <v>700.8368333333334</v>
      </c>
      <c r="H135" s="15">
        <v>0</v>
      </c>
      <c r="I135" s="2">
        <v>28</v>
      </c>
      <c r="J135" s="7">
        <v>756.55578484805983</v>
      </c>
      <c r="K135" s="379">
        <v>464681.21436755557</v>
      </c>
      <c r="L135" s="7">
        <v>4153348.2731425897</v>
      </c>
      <c r="M135" s="7"/>
      <c r="N135" s="135"/>
      <c r="O135" s="7"/>
      <c r="P135" s="2"/>
      <c r="Q135" s="376">
        <f t="shared" si="13"/>
        <v>9900418.4435431417</v>
      </c>
      <c r="R135" s="7"/>
      <c r="S135" s="139"/>
      <c r="T135" s="139"/>
      <c r="U135" s="4"/>
      <c r="V135" s="132"/>
      <c r="W135" s="132"/>
      <c r="X135" s="132"/>
      <c r="Y135" s="132"/>
      <c r="Z135" s="132"/>
      <c r="AA135" s="132"/>
      <c r="AB135" s="132"/>
      <c r="AC135" s="132"/>
      <c r="AD135" s="132"/>
      <c r="AE135" s="4"/>
      <c r="AF135" s="4"/>
      <c r="AG135" s="4"/>
      <c r="AH135" s="4"/>
      <c r="AI135" s="4"/>
      <c r="AJ135" s="4"/>
      <c r="AK135" s="4"/>
      <c r="AL135" s="4"/>
      <c r="AM135" s="4"/>
      <c r="AN135" s="4"/>
      <c r="AO135" s="4"/>
      <c r="AP135" s="4"/>
      <c r="AQ135" s="4"/>
      <c r="AR135" s="4"/>
      <c r="AS135" s="4"/>
      <c r="AT135" s="4"/>
      <c r="AU135" s="4"/>
      <c r="AV135" s="4"/>
      <c r="AW135" s="4"/>
      <c r="AX135" s="4"/>
      <c r="AY135" s="4"/>
      <c r="AZ135" s="4"/>
      <c r="BA135" s="4"/>
      <c r="BB135" s="4"/>
    </row>
    <row r="136" spans="1:54" s="141" customFormat="1">
      <c r="A136" s="2">
        <v>2021</v>
      </c>
      <c r="B136" s="2" t="s">
        <v>4</v>
      </c>
      <c r="C136" s="15"/>
      <c r="D136" s="15"/>
      <c r="E136" s="7"/>
      <c r="F136" s="15"/>
      <c r="G136" s="15">
        <v>625.95086111111118</v>
      </c>
      <c r="H136" s="15">
        <v>0.374</v>
      </c>
      <c r="I136" s="2">
        <v>31</v>
      </c>
      <c r="J136" s="7">
        <v>757.01623519571558</v>
      </c>
      <c r="K136" s="379">
        <v>465843.2259006268</v>
      </c>
      <c r="L136" s="7">
        <v>4552809.7978682304</v>
      </c>
      <c r="M136" s="7"/>
      <c r="N136" s="135"/>
      <c r="O136" s="7"/>
      <c r="P136" s="2"/>
      <c r="Q136" s="376">
        <f t="shared" si="13"/>
        <v>10491383.014579635</v>
      </c>
      <c r="R136" s="7"/>
      <c r="S136" s="139"/>
      <c r="T136" s="139"/>
      <c r="U136" s="4"/>
      <c r="V136" s="132"/>
      <c r="W136" s="132"/>
      <c r="X136" s="132"/>
      <c r="Y136" s="132"/>
      <c r="Z136" s="132"/>
      <c r="AA136" s="132"/>
      <c r="AB136" s="132"/>
      <c r="AC136" s="132"/>
      <c r="AD136" s="132"/>
      <c r="AE136" s="4"/>
      <c r="AF136" s="4"/>
      <c r="AG136" s="4"/>
      <c r="AH136" s="4"/>
      <c r="AI136" s="4"/>
      <c r="AJ136" s="4"/>
      <c r="AK136" s="4"/>
      <c r="AL136" s="4"/>
      <c r="AM136" s="4"/>
      <c r="AN136" s="4"/>
      <c r="AO136" s="4"/>
      <c r="AP136" s="4"/>
      <c r="AQ136" s="4"/>
      <c r="AR136" s="4"/>
      <c r="AS136" s="4"/>
      <c r="AT136" s="4"/>
      <c r="AU136" s="4"/>
      <c r="AV136" s="4"/>
      <c r="AW136" s="4"/>
      <c r="AX136" s="4"/>
      <c r="AY136" s="4"/>
      <c r="AZ136" s="4"/>
      <c r="BA136" s="4"/>
      <c r="BB136" s="4"/>
    </row>
    <row r="137" spans="1:54" s="141" customFormat="1">
      <c r="A137" s="2">
        <v>2021</v>
      </c>
      <c r="B137" s="2" t="s">
        <v>5</v>
      </c>
      <c r="C137" s="15"/>
      <c r="D137" s="15"/>
      <c r="E137" s="7"/>
      <c r="F137" s="15"/>
      <c r="G137" s="15">
        <v>406.6153333333333</v>
      </c>
      <c r="H137" s="15">
        <v>0.01</v>
      </c>
      <c r="I137" s="2">
        <v>30</v>
      </c>
      <c r="J137" s="7">
        <v>757.54857907673227</v>
      </c>
      <c r="K137" s="379">
        <v>467005.23743369809</v>
      </c>
      <c r="L137" s="7">
        <v>4320275.3945680708</v>
      </c>
      <c r="M137" s="7"/>
      <c r="N137" s="135"/>
      <c r="O137" s="7"/>
      <c r="P137" s="2"/>
      <c r="Q137" s="376">
        <f t="shared" si="13"/>
        <v>9562651.3110994846</v>
      </c>
      <c r="R137" s="7"/>
      <c r="S137" s="139"/>
      <c r="T137" s="139"/>
      <c r="U137" s="4"/>
      <c r="V137" s="132"/>
      <c r="W137" s="132"/>
      <c r="X137" s="132"/>
      <c r="Y137" s="132"/>
      <c r="Z137" s="132"/>
      <c r="AA137" s="132"/>
      <c r="AB137" s="132"/>
      <c r="AC137" s="132"/>
      <c r="AD137" s="132"/>
      <c r="AE137" s="4"/>
      <c r="AF137" s="4"/>
      <c r="AG137" s="4"/>
      <c r="AH137" s="4"/>
      <c r="AI137" s="4"/>
      <c r="AJ137" s="4"/>
      <c r="AK137" s="4"/>
      <c r="AL137" s="4"/>
      <c r="AM137" s="4"/>
      <c r="AN137" s="4"/>
      <c r="AO137" s="4"/>
      <c r="AP137" s="4"/>
      <c r="AQ137" s="4"/>
      <c r="AR137" s="4"/>
      <c r="AS137" s="4"/>
      <c r="AT137" s="4"/>
      <c r="AU137" s="4"/>
      <c r="AV137" s="4"/>
      <c r="AW137" s="4"/>
      <c r="AX137" s="4"/>
      <c r="AY137" s="4"/>
      <c r="AZ137" s="4"/>
      <c r="BA137" s="4"/>
      <c r="BB137" s="4"/>
    </row>
    <row r="138" spans="1:54" s="141" customFormat="1">
      <c r="A138" s="2">
        <v>2021</v>
      </c>
      <c r="B138" s="2" t="s">
        <v>6</v>
      </c>
      <c r="C138" s="15"/>
      <c r="D138" s="15"/>
      <c r="E138" s="7"/>
      <c r="F138" s="15"/>
      <c r="G138" s="15">
        <v>170.47683333333333</v>
      </c>
      <c r="H138" s="15">
        <v>15.288000000000002</v>
      </c>
      <c r="I138" s="2">
        <v>31</v>
      </c>
      <c r="J138" s="7">
        <v>758.21559370538125</v>
      </c>
      <c r="K138" s="379">
        <v>468167.24896676932</v>
      </c>
      <c r="L138" s="7">
        <v>4571296.2624282008</v>
      </c>
      <c r="M138" s="7"/>
      <c r="N138" s="135"/>
      <c r="O138" s="7"/>
      <c r="P138" s="2"/>
      <c r="Q138" s="376">
        <f t="shared" si="13"/>
        <v>9487350.4798442256</v>
      </c>
      <c r="R138" s="7"/>
      <c r="S138" s="139"/>
      <c r="T138" s="139"/>
      <c r="U138" s="4"/>
      <c r="V138" s="132"/>
      <c r="W138" s="132"/>
      <c r="X138" s="132"/>
      <c r="Y138" s="132"/>
      <c r="Z138" s="132"/>
      <c r="AA138" s="132"/>
      <c r="AB138" s="132"/>
      <c r="AC138" s="132"/>
      <c r="AD138" s="132"/>
      <c r="AE138" s="4"/>
      <c r="AF138" s="4"/>
      <c r="AG138" s="4"/>
      <c r="AH138" s="4"/>
      <c r="AI138" s="4"/>
      <c r="AJ138" s="4"/>
      <c r="AK138" s="4"/>
      <c r="AL138" s="4"/>
      <c r="AM138" s="4"/>
      <c r="AN138" s="4"/>
      <c r="AO138" s="4"/>
      <c r="AP138" s="4"/>
      <c r="AQ138" s="4"/>
      <c r="AR138" s="4"/>
      <c r="AS138" s="4"/>
      <c r="AT138" s="4"/>
      <c r="AU138" s="4"/>
      <c r="AV138" s="4"/>
      <c r="AW138" s="4"/>
      <c r="AX138" s="4"/>
      <c r="AY138" s="4"/>
      <c r="AZ138" s="4"/>
      <c r="BA138" s="4"/>
      <c r="BB138" s="4"/>
    </row>
    <row r="139" spans="1:54" s="141" customFormat="1">
      <c r="A139" s="2">
        <v>2021</v>
      </c>
      <c r="B139" s="2" t="s">
        <v>7</v>
      </c>
      <c r="C139" s="15"/>
      <c r="D139" s="15"/>
      <c r="E139" s="7"/>
      <c r="F139" s="15"/>
      <c r="G139" s="15">
        <v>58.13183333333334</v>
      </c>
      <c r="H139" s="15">
        <v>29.232499999999998</v>
      </c>
      <c r="I139" s="2">
        <v>30</v>
      </c>
      <c r="J139" s="7">
        <v>758.95368728982714</v>
      </c>
      <c r="K139" s="379">
        <v>469329.2604998406</v>
      </c>
      <c r="L139" s="7">
        <v>4462329.8412602898</v>
      </c>
      <c r="M139" s="7"/>
      <c r="N139" s="135"/>
      <c r="O139" s="7"/>
      <c r="P139" s="2"/>
      <c r="Q139" s="376">
        <f t="shared" si="13"/>
        <v>9104184.9771304447</v>
      </c>
      <c r="R139" s="7"/>
      <c r="S139" s="139"/>
      <c r="T139" s="139"/>
      <c r="U139" s="4"/>
      <c r="V139" s="132"/>
      <c r="W139" s="132"/>
      <c r="X139" s="132"/>
      <c r="Y139" s="132"/>
      <c r="Z139" s="132"/>
      <c r="AA139" s="132"/>
      <c r="AB139" s="132"/>
      <c r="AC139" s="132"/>
      <c r="AD139" s="132"/>
      <c r="AE139" s="4"/>
      <c r="AF139" s="4"/>
      <c r="AG139" s="4"/>
      <c r="AH139" s="4"/>
      <c r="AI139" s="4"/>
      <c r="AJ139" s="4"/>
      <c r="AK139" s="4"/>
      <c r="AL139" s="4"/>
      <c r="AM139" s="4"/>
      <c r="AN139" s="4"/>
      <c r="AO139" s="4"/>
      <c r="AP139" s="4"/>
      <c r="AQ139" s="4"/>
      <c r="AR139" s="4"/>
      <c r="AS139" s="4"/>
      <c r="AT139" s="4"/>
      <c r="AU139" s="4"/>
      <c r="AV139" s="4"/>
      <c r="AW139" s="4"/>
      <c r="AX139" s="4"/>
      <c r="AY139" s="4"/>
      <c r="AZ139" s="4"/>
      <c r="BA139" s="4"/>
      <c r="BB139" s="4"/>
    </row>
    <row r="140" spans="1:54" s="141" customFormat="1">
      <c r="A140" s="2">
        <v>2021</v>
      </c>
      <c r="B140" s="2" t="s">
        <v>8</v>
      </c>
      <c r="C140" s="15"/>
      <c r="D140" s="15"/>
      <c r="E140" s="7"/>
      <c r="F140" s="15"/>
      <c r="G140" s="15">
        <v>17.550999999999998</v>
      </c>
      <c r="H140" s="15">
        <v>70.626000000000005</v>
      </c>
      <c r="I140" s="2">
        <v>31</v>
      </c>
      <c r="J140" s="7">
        <v>759.85594326810815</v>
      </c>
      <c r="K140" s="379">
        <v>470491.27203291183</v>
      </c>
      <c r="L140" s="7">
        <v>4225037.1975728208</v>
      </c>
      <c r="M140" s="7"/>
      <c r="N140" s="135"/>
      <c r="O140" s="7"/>
      <c r="P140" s="2"/>
      <c r="Q140" s="376">
        <f t="shared" si="13"/>
        <v>9311429.0827985816</v>
      </c>
      <c r="R140" s="7"/>
      <c r="S140" s="139"/>
      <c r="T140" s="139"/>
      <c r="U140" s="4"/>
      <c r="V140" s="132"/>
      <c r="W140" s="132"/>
      <c r="X140" s="132"/>
      <c r="Y140" s="132"/>
      <c r="Z140" s="132"/>
      <c r="AA140" s="132"/>
      <c r="AB140" s="132"/>
      <c r="AC140" s="132"/>
      <c r="AD140" s="132"/>
      <c r="AE140" s="4"/>
      <c r="AF140" s="4"/>
      <c r="AG140" s="4"/>
      <c r="AH140" s="4"/>
      <c r="AI140" s="4"/>
      <c r="AJ140" s="4"/>
      <c r="AK140" s="4"/>
      <c r="AL140" s="4"/>
      <c r="AM140" s="4"/>
      <c r="AN140" s="4"/>
      <c r="AO140" s="4"/>
      <c r="AP140" s="4"/>
      <c r="AQ140" s="4"/>
      <c r="AR140" s="4"/>
      <c r="AS140" s="4"/>
      <c r="AT140" s="4"/>
      <c r="AU140" s="4"/>
      <c r="AV140" s="4"/>
      <c r="AW140" s="4"/>
      <c r="AX140" s="4"/>
      <c r="AY140" s="4"/>
      <c r="AZ140" s="4"/>
      <c r="BA140" s="4"/>
      <c r="BB140" s="4"/>
    </row>
    <row r="141" spans="1:54" s="141" customFormat="1">
      <c r="A141" s="2">
        <v>2021</v>
      </c>
      <c r="B141" s="2" t="s">
        <v>9</v>
      </c>
      <c r="C141" s="15"/>
      <c r="D141" s="15"/>
      <c r="E141" s="7"/>
      <c r="F141" s="15"/>
      <c r="G141" s="15">
        <v>25.129999999999995</v>
      </c>
      <c r="H141" s="15">
        <v>49.302500000000002</v>
      </c>
      <c r="I141" s="2">
        <v>31</v>
      </c>
      <c r="J141" s="7">
        <v>760.92159922691576</v>
      </c>
      <c r="K141" s="379">
        <v>471653.28356598312</v>
      </c>
      <c r="L141" s="7">
        <v>4814531.9147933107</v>
      </c>
      <c r="M141" s="7"/>
      <c r="N141" s="135"/>
      <c r="O141" s="7"/>
      <c r="P141" s="2"/>
      <c r="Q141" s="376">
        <f t="shared" si="13"/>
        <v>9703855.7126059961</v>
      </c>
      <c r="R141" s="7"/>
      <c r="S141" s="139"/>
      <c r="T141" s="139"/>
      <c r="U141" s="4"/>
      <c r="V141" s="132"/>
      <c r="W141" s="132"/>
      <c r="X141" s="132"/>
      <c r="Y141" s="132"/>
      <c r="Z141" s="132"/>
      <c r="AA141" s="132"/>
      <c r="AB141" s="132"/>
      <c r="AC141" s="132"/>
      <c r="AD141" s="132"/>
      <c r="AE141" s="4"/>
      <c r="AF141" s="4"/>
      <c r="AG141" s="4"/>
      <c r="AH141" s="4"/>
      <c r="AI141" s="4"/>
      <c r="AJ141" s="4"/>
      <c r="AK141" s="4"/>
      <c r="AL141" s="4"/>
      <c r="AM141" s="4"/>
      <c r="AN141" s="4"/>
      <c r="AO141" s="4"/>
      <c r="AP141" s="4"/>
      <c r="AQ141" s="4"/>
      <c r="AR141" s="4"/>
      <c r="AS141" s="4"/>
      <c r="AT141" s="4"/>
      <c r="AU141" s="4"/>
      <c r="AV141" s="4"/>
      <c r="AW141" s="4"/>
      <c r="AX141" s="4"/>
      <c r="AY141" s="4"/>
      <c r="AZ141" s="4"/>
      <c r="BA141" s="4"/>
      <c r="BB141" s="4"/>
    </row>
    <row r="142" spans="1:54" s="141" customFormat="1">
      <c r="A142" s="2">
        <v>2021</v>
      </c>
      <c r="B142" s="2" t="s">
        <v>10</v>
      </c>
      <c r="C142" s="15"/>
      <c r="D142" s="15"/>
      <c r="E142" s="7"/>
      <c r="F142" s="15"/>
      <c r="G142" s="15">
        <v>98.954666666666654</v>
      </c>
      <c r="H142" s="15">
        <v>26.142499999999995</v>
      </c>
      <c r="I142" s="2">
        <v>30</v>
      </c>
      <c r="J142" s="7">
        <v>762.05215130454576</v>
      </c>
      <c r="K142" s="379">
        <v>472815.29509905435</v>
      </c>
      <c r="L142" s="7">
        <v>4523832.6561036911</v>
      </c>
      <c r="M142" s="7"/>
      <c r="N142" s="135"/>
      <c r="O142" s="7"/>
      <c r="P142" s="2"/>
      <c r="Q142" s="376">
        <f t="shared" si="13"/>
        <v>9241469.4499527141</v>
      </c>
      <c r="R142" s="7"/>
      <c r="S142" s="139"/>
      <c r="T142" s="139"/>
      <c r="U142" s="4"/>
      <c r="V142" s="132"/>
      <c r="W142" s="132"/>
      <c r="X142" s="132"/>
      <c r="Y142" s="132"/>
      <c r="Z142" s="132"/>
      <c r="AA142" s="132"/>
      <c r="AB142" s="132"/>
      <c r="AC142" s="132"/>
      <c r="AD142" s="132"/>
      <c r="AE142" s="4"/>
      <c r="AF142" s="4"/>
      <c r="AG142" s="4"/>
      <c r="AH142" s="4"/>
      <c r="AI142" s="4"/>
      <c r="AJ142" s="4"/>
      <c r="AK142" s="4"/>
      <c r="AL142" s="4"/>
      <c r="AM142" s="4"/>
      <c r="AN142" s="4"/>
      <c r="AO142" s="4"/>
      <c r="AP142" s="4"/>
      <c r="AQ142" s="4"/>
      <c r="AR142" s="4"/>
      <c r="AS142" s="4"/>
      <c r="AT142" s="4"/>
      <c r="AU142" s="4"/>
      <c r="AV142" s="4"/>
      <c r="AW142" s="4"/>
      <c r="AX142" s="4"/>
      <c r="AY142" s="4"/>
      <c r="AZ142" s="4"/>
      <c r="BA142" s="4"/>
      <c r="BB142" s="4"/>
    </row>
    <row r="143" spans="1:54" s="141" customFormat="1">
      <c r="A143" s="2">
        <v>2021</v>
      </c>
      <c r="B143" s="2" t="s">
        <v>11</v>
      </c>
      <c r="C143" s="15"/>
      <c r="D143" s="15"/>
      <c r="E143" s="7"/>
      <c r="F143" s="15"/>
      <c r="G143" s="15">
        <v>281.5287777777778</v>
      </c>
      <c r="H143" s="15">
        <v>1.4520000000000002</v>
      </c>
      <c r="I143" s="2">
        <v>31</v>
      </c>
      <c r="J143" s="7">
        <v>763.08500122486407</v>
      </c>
      <c r="K143" s="379">
        <v>473977.30663212563</v>
      </c>
      <c r="L143" s="7">
        <v>4678280.3545996398</v>
      </c>
      <c r="M143" s="7"/>
      <c r="N143" s="135"/>
      <c r="O143" s="7"/>
      <c r="P143" s="2"/>
      <c r="Q143" s="376">
        <f t="shared" si="13"/>
        <v>9742928.9047317859</v>
      </c>
      <c r="R143" s="7"/>
      <c r="S143" s="139"/>
      <c r="T143" s="139"/>
      <c r="U143" s="4"/>
      <c r="V143" s="132"/>
      <c r="W143" s="132"/>
      <c r="X143" s="132"/>
      <c r="Y143" s="132"/>
      <c r="Z143" s="132"/>
      <c r="AA143" s="132"/>
      <c r="AB143" s="132"/>
      <c r="AC143" s="132"/>
      <c r="AD143" s="132"/>
      <c r="AE143" s="4"/>
      <c r="AF143" s="4"/>
      <c r="AG143" s="4"/>
      <c r="AH143" s="4"/>
      <c r="AI143" s="4"/>
      <c r="AJ143" s="4"/>
      <c r="AK143" s="4"/>
      <c r="AL143" s="4"/>
      <c r="AM143" s="4"/>
      <c r="AN143" s="4"/>
      <c r="AO143" s="4"/>
      <c r="AP143" s="4"/>
      <c r="AQ143" s="4"/>
      <c r="AR143" s="4"/>
      <c r="AS143" s="4"/>
      <c r="AT143" s="4"/>
      <c r="AU143" s="4"/>
      <c r="AV143" s="4"/>
      <c r="AW143" s="4"/>
      <c r="AX143" s="4"/>
      <c r="AY143" s="4"/>
      <c r="AZ143" s="4"/>
      <c r="BA143" s="4"/>
      <c r="BB143" s="4"/>
    </row>
    <row r="144" spans="1:54" s="141" customFormat="1">
      <c r="A144" s="2">
        <v>2021</v>
      </c>
      <c r="B144" s="2" t="s">
        <v>12</v>
      </c>
      <c r="C144" s="15"/>
      <c r="D144" s="15"/>
      <c r="E144" s="7"/>
      <c r="F144" s="15"/>
      <c r="G144" s="15">
        <v>492.00127777777777</v>
      </c>
      <c r="H144" s="15">
        <v>0</v>
      </c>
      <c r="I144" s="2">
        <v>30</v>
      </c>
      <c r="J144" s="7">
        <v>764.01206148511562</v>
      </c>
      <c r="K144" s="379">
        <v>475139.31816519692</v>
      </c>
      <c r="L144" s="7">
        <v>4337673.9376223106</v>
      </c>
      <c r="M144" s="7"/>
      <c r="N144" s="135"/>
      <c r="O144" s="7"/>
      <c r="P144" s="2"/>
      <c r="Q144" s="376">
        <f t="shared" si="13"/>
        <v>9804303.7855220474</v>
      </c>
      <c r="R144" s="7"/>
      <c r="S144" s="139"/>
      <c r="T144" s="139"/>
      <c r="U144" s="4"/>
      <c r="V144" s="132"/>
      <c r="W144" s="132"/>
      <c r="X144" s="132"/>
      <c r="Y144" s="132"/>
      <c r="Z144" s="132"/>
      <c r="AA144" s="132"/>
      <c r="AB144" s="132"/>
      <c r="AC144" s="132"/>
      <c r="AD144" s="132"/>
      <c r="AE144" s="4"/>
      <c r="AF144" s="4"/>
      <c r="AG144" s="4"/>
      <c r="AH144" s="4"/>
      <c r="AI144" s="4"/>
      <c r="AJ144" s="4"/>
      <c r="AK144" s="4"/>
      <c r="AL144" s="4"/>
      <c r="AM144" s="4"/>
      <c r="AN144" s="4"/>
      <c r="AO144" s="4"/>
      <c r="AP144" s="4"/>
      <c r="AQ144" s="4"/>
      <c r="AR144" s="4"/>
      <c r="AS144" s="4"/>
      <c r="AT144" s="4"/>
      <c r="AU144" s="4"/>
      <c r="AV144" s="4"/>
      <c r="AW144" s="4"/>
      <c r="AX144" s="4"/>
      <c r="AY144" s="4"/>
      <c r="AZ144" s="4"/>
      <c r="BA144" s="4"/>
      <c r="BB144" s="4"/>
    </row>
    <row r="145" spans="1:54" s="141" customFormat="1">
      <c r="A145" s="2">
        <v>2021</v>
      </c>
      <c r="B145" s="2" t="s">
        <v>13</v>
      </c>
      <c r="C145" s="15"/>
      <c r="D145" s="15"/>
      <c r="E145" s="7"/>
      <c r="F145" s="15"/>
      <c r="G145" s="15">
        <v>646.34866666666665</v>
      </c>
      <c r="H145" s="15">
        <v>0</v>
      </c>
      <c r="I145" s="2">
        <v>31</v>
      </c>
      <c r="J145" s="7">
        <v>764.8471869187938</v>
      </c>
      <c r="K145" s="379">
        <v>476301.32969826815</v>
      </c>
      <c r="L145" s="7">
        <v>3789382.4527209401</v>
      </c>
      <c r="M145" s="7"/>
      <c r="N145" s="135"/>
      <c r="O145" s="7"/>
      <c r="P145" s="2"/>
      <c r="Q145" s="376">
        <f t="shared" si="13"/>
        <v>9781667.9093340728</v>
      </c>
      <c r="R145" s="7"/>
      <c r="S145" s="139"/>
      <c r="T145" s="139"/>
      <c r="U145" s="4"/>
      <c r="V145" s="132"/>
      <c r="W145" s="132"/>
      <c r="X145" s="132"/>
      <c r="Y145" s="132"/>
      <c r="Z145" s="132"/>
      <c r="AA145" s="132"/>
      <c r="AB145" s="132"/>
      <c r="AC145" s="132"/>
      <c r="AD145" s="132"/>
      <c r="AE145" s="4"/>
      <c r="AF145" s="4"/>
      <c r="AG145" s="4"/>
      <c r="AH145" s="4"/>
      <c r="AI145" s="4"/>
      <c r="AJ145" s="4"/>
      <c r="AK145" s="4"/>
      <c r="AL145" s="4"/>
      <c r="AM145" s="4"/>
      <c r="AN145" s="4"/>
      <c r="AO145" s="4"/>
      <c r="AP145" s="4"/>
      <c r="AQ145" s="4"/>
      <c r="AR145" s="4"/>
      <c r="AS145" s="4"/>
      <c r="AT145" s="4"/>
      <c r="AU145" s="4"/>
      <c r="AV145" s="4"/>
      <c r="AW145" s="4"/>
      <c r="AX145" s="4"/>
      <c r="AY145" s="4"/>
      <c r="AZ145" s="4"/>
      <c r="BA145" s="4"/>
      <c r="BB145" s="4"/>
    </row>
    <row r="146" spans="1:54">
      <c r="C146" s="15"/>
      <c r="D146" s="15"/>
      <c r="E146" s="15"/>
      <c r="F146" s="15"/>
      <c r="V146" s="132"/>
      <c r="W146" s="132"/>
      <c r="X146" s="132"/>
      <c r="Y146" s="132"/>
      <c r="Z146" s="132"/>
      <c r="AA146" s="132"/>
      <c r="AB146" s="132"/>
      <c r="AC146" s="132"/>
      <c r="AD146" s="132"/>
    </row>
    <row r="147" spans="1:54">
      <c r="C147" s="15"/>
      <c r="D147" s="15"/>
      <c r="E147" s="15"/>
      <c r="F147" s="15"/>
      <c r="V147" s="132"/>
      <c r="W147" s="132"/>
      <c r="X147" s="132"/>
      <c r="Y147" s="132"/>
      <c r="Z147" s="132"/>
      <c r="AA147" s="132"/>
      <c r="AB147" s="132"/>
      <c r="AC147" s="132"/>
      <c r="AD147" s="132"/>
    </row>
    <row r="148" spans="1:54">
      <c r="C148" s="15"/>
      <c r="D148" s="15"/>
      <c r="E148" s="15"/>
      <c r="F148" s="15"/>
      <c r="V148" s="132"/>
      <c r="W148" s="132"/>
      <c r="X148" s="132"/>
      <c r="Y148" s="132"/>
      <c r="Z148" s="132"/>
      <c r="AA148" s="132"/>
      <c r="AB148" s="132"/>
      <c r="AC148" s="132"/>
      <c r="AD148" s="132"/>
    </row>
    <row r="149" spans="1:54">
      <c r="C149" s="15"/>
      <c r="D149" s="15"/>
      <c r="E149" s="15"/>
      <c r="F149" s="15"/>
      <c r="V149" s="132"/>
      <c r="W149" s="132"/>
      <c r="X149" s="132"/>
      <c r="Y149" s="132"/>
      <c r="Z149" s="132"/>
      <c r="AA149" s="132"/>
      <c r="AB149" s="132"/>
      <c r="AC149" s="132"/>
      <c r="AD149" s="132"/>
    </row>
    <row r="150" spans="1:54">
      <c r="C150" s="15"/>
      <c r="D150" s="15"/>
      <c r="E150" s="15"/>
      <c r="F150" s="15"/>
      <c r="V150" s="132"/>
      <c r="W150" s="132"/>
      <c r="X150" s="132"/>
      <c r="Y150" s="132"/>
      <c r="Z150" s="132"/>
      <c r="AA150" s="132"/>
      <c r="AB150" s="132"/>
      <c r="AC150" s="132"/>
      <c r="AD150" s="132"/>
    </row>
    <row r="151" spans="1:54">
      <c r="C151" s="15"/>
      <c r="D151" s="15"/>
      <c r="E151" s="15"/>
      <c r="F151" s="15"/>
      <c r="I151" s="353" t="s">
        <v>18</v>
      </c>
      <c r="K151" s="353" t="s">
        <v>108</v>
      </c>
      <c r="V151" s="132"/>
      <c r="W151" s="132"/>
      <c r="X151" s="132"/>
      <c r="Y151" s="132"/>
      <c r="Z151" s="132"/>
      <c r="AA151" s="132"/>
      <c r="AB151" s="132"/>
      <c r="AC151" s="132"/>
      <c r="AD151" s="132"/>
    </row>
    <row r="152" spans="1:54">
      <c r="A152" s="2">
        <v>2010</v>
      </c>
      <c r="C152" s="15">
        <f>SUM(C2:C13)</f>
        <v>102608221.91384616</v>
      </c>
      <c r="D152" s="15">
        <f t="shared" ref="D152:E152" si="14">SUM(D2:D13)</f>
        <v>24.24</v>
      </c>
      <c r="E152" s="15">
        <f t="shared" si="14"/>
        <v>102608246.15384616</v>
      </c>
      <c r="F152" s="15"/>
      <c r="I152" s="375">
        <f>SUM(Q2:Q13)</f>
        <v>107690950.89954393</v>
      </c>
      <c r="J152" s="7"/>
      <c r="K152" s="375">
        <f>SUM(K2:K13)</f>
        <v>1504617.2800676257</v>
      </c>
      <c r="V152" s="132"/>
      <c r="W152" s="132"/>
      <c r="X152" s="132"/>
      <c r="Y152" s="132"/>
      <c r="Z152" s="132"/>
      <c r="AA152" s="132"/>
      <c r="AB152" s="132"/>
      <c r="AC152" s="132"/>
      <c r="AD152" s="132"/>
    </row>
    <row r="153" spans="1:54">
      <c r="A153" s="2">
        <v>2011</v>
      </c>
      <c r="C153" s="15">
        <f>SUM(C14:C25)</f>
        <v>105408568.24846154</v>
      </c>
      <c r="D153" s="15">
        <f t="shared" ref="D153:E153" si="15">SUM(D14:D25)</f>
        <v>83693.289999999994</v>
      </c>
      <c r="E153" s="15">
        <f t="shared" si="15"/>
        <v>105492261.53846154</v>
      </c>
      <c r="F153" s="15"/>
      <c r="I153" s="375">
        <f>SUM(Q14:Q25)</f>
        <v>111245565.89516975</v>
      </c>
      <c r="J153" s="7"/>
      <c r="K153" s="375">
        <f t="shared" ref="K153" si="16">SUM(K14:K25)</f>
        <v>1608804.0459748716</v>
      </c>
      <c r="V153" s="132"/>
      <c r="W153" s="132"/>
      <c r="X153" s="132"/>
      <c r="Y153" s="132"/>
      <c r="Z153" s="132"/>
      <c r="AA153" s="132"/>
      <c r="AB153" s="132"/>
      <c r="AC153" s="132"/>
      <c r="AD153" s="132"/>
    </row>
    <row r="154" spans="1:54">
      <c r="A154" s="2">
        <v>2012</v>
      </c>
      <c r="C154" s="15">
        <f>SUM(C26:C37)</f>
        <v>108150644.08454545</v>
      </c>
      <c r="D154" s="15">
        <f t="shared" ref="D154:E154" si="17">SUM(D26:D37)</f>
        <v>135101.37</v>
      </c>
      <c r="E154" s="15">
        <f t="shared" si="17"/>
        <v>108285745.45454547</v>
      </c>
      <c r="F154" s="15"/>
      <c r="I154" s="375">
        <f>SUM(Q26:Q37)</f>
        <v>114572458.6172827</v>
      </c>
      <c r="J154" s="7"/>
      <c r="K154" s="375">
        <f t="shared" ref="K154" si="18">SUM(K26:K37)</f>
        <v>2028029.4033876637</v>
      </c>
      <c r="V154" s="132"/>
      <c r="W154" s="132"/>
      <c r="X154" s="132"/>
      <c r="Y154" s="132"/>
      <c r="Z154" s="132"/>
      <c r="AA154" s="132"/>
      <c r="AB154" s="132"/>
      <c r="AC154" s="132"/>
      <c r="AD154" s="132"/>
    </row>
    <row r="155" spans="1:54">
      <c r="A155" s="2">
        <v>2013</v>
      </c>
      <c r="C155" s="15">
        <f>SUM(C38:C49)</f>
        <v>110742929.67</v>
      </c>
      <c r="D155" s="15">
        <f t="shared" ref="D155:E155" si="19">SUM(D38:D49)</f>
        <v>220117.15</v>
      </c>
      <c r="E155" s="15">
        <f t="shared" si="19"/>
        <v>110963046.82000002</v>
      </c>
      <c r="F155" s="15"/>
      <c r="I155" s="375">
        <f>SUM(Q38:Q49)</f>
        <v>118169272.60977328</v>
      </c>
      <c r="J155" s="7"/>
      <c r="K155" s="375">
        <f t="shared" ref="K155" si="20">SUM(K38:K49)</f>
        <v>2389006.0635865508</v>
      </c>
      <c r="V155" s="132"/>
      <c r="W155" s="132"/>
      <c r="X155" s="132"/>
      <c r="Y155" s="132"/>
      <c r="Z155" s="132"/>
      <c r="AA155" s="132"/>
      <c r="AB155" s="132"/>
      <c r="AC155" s="132"/>
      <c r="AD155" s="132"/>
    </row>
    <row r="156" spans="1:54">
      <c r="A156" s="2">
        <v>2014</v>
      </c>
      <c r="C156" s="15">
        <f>SUM(C50:C61)</f>
        <v>111901997.43589744</v>
      </c>
      <c r="D156" s="15">
        <f t="shared" ref="D156:E156" si="21">SUM(D50:D61)</f>
        <v>301047.27999999997</v>
      </c>
      <c r="E156" s="15">
        <f t="shared" si="21"/>
        <v>112203044.71589744</v>
      </c>
      <c r="F156" s="15"/>
      <c r="I156" s="375">
        <f>SUM(Q50:Q61)</f>
        <v>119708739.27464177</v>
      </c>
      <c r="J156" s="7"/>
      <c r="K156" s="375">
        <f t="shared" ref="K156" si="22">SUM(K50:K61)</f>
        <v>2678623.5168923652</v>
      </c>
      <c r="V156" s="132"/>
      <c r="W156" s="132"/>
      <c r="X156" s="132"/>
      <c r="Y156" s="132"/>
      <c r="Z156" s="132"/>
      <c r="AA156" s="132"/>
      <c r="AB156" s="132"/>
      <c r="AC156" s="132"/>
      <c r="AD156" s="132"/>
    </row>
    <row r="157" spans="1:54">
      <c r="A157" s="2">
        <v>2015</v>
      </c>
      <c r="C157" s="15">
        <f>SUM(C62:C73)</f>
        <v>111789846.15384617</v>
      </c>
      <c r="D157" s="15">
        <f t="shared" ref="D157:E157" si="23">SUM(D62:D73)</f>
        <v>388572.35</v>
      </c>
      <c r="E157" s="15">
        <f t="shared" si="23"/>
        <v>112178418.50384614</v>
      </c>
      <c r="F157" s="15"/>
      <c r="I157" s="375">
        <f>SUM(Q62:Q73)</f>
        <v>120072335.24984401</v>
      </c>
      <c r="J157" s="7"/>
      <c r="K157" s="375">
        <f t="shared" ref="K157" si="24">SUM(K62:K73)</f>
        <v>3133365.4499326721</v>
      </c>
      <c r="V157" s="132"/>
      <c r="W157" s="132"/>
      <c r="X157" s="132"/>
      <c r="Y157" s="132"/>
      <c r="Z157" s="132"/>
      <c r="AA157" s="132"/>
      <c r="AB157" s="132"/>
      <c r="AC157" s="132"/>
      <c r="AD157" s="132"/>
    </row>
    <row r="158" spans="1:54">
      <c r="A158" s="2">
        <v>2016</v>
      </c>
      <c r="C158" s="15">
        <f>SUM(C74:C85)</f>
        <v>108698807.69230768</v>
      </c>
      <c r="D158" s="15">
        <f t="shared" ref="D158:E158" si="25">SUM(D74:D85)</f>
        <v>413214.74000000005</v>
      </c>
      <c r="E158" s="15">
        <f t="shared" si="25"/>
        <v>109112022.43230771</v>
      </c>
      <c r="F158" s="15"/>
      <c r="I158" s="375">
        <f>SUM(Q74:Q85)</f>
        <v>117708668.33534871</v>
      </c>
      <c r="J158" s="7"/>
      <c r="K158" s="375">
        <f t="shared" ref="K158" si="26">SUM(K74:K85)</f>
        <v>3791162.3492420837</v>
      </c>
      <c r="V158" s="132"/>
      <c r="W158" s="132"/>
      <c r="X158" s="132"/>
      <c r="Y158" s="132"/>
      <c r="Z158" s="132"/>
      <c r="AA158" s="132"/>
      <c r="AB158" s="132"/>
      <c r="AC158" s="132"/>
      <c r="AD158" s="132"/>
    </row>
    <row r="159" spans="1:54">
      <c r="A159" s="2">
        <v>2017</v>
      </c>
      <c r="C159" s="15">
        <f>SUM(C86:C97)</f>
        <v>106743638.0952381</v>
      </c>
      <c r="D159" s="15">
        <f t="shared" ref="D159:E159" si="27">SUM(D86:D97)</f>
        <v>379103.91</v>
      </c>
      <c r="E159" s="15">
        <f t="shared" si="27"/>
        <v>107122742.0052381</v>
      </c>
      <c r="F159" s="15"/>
      <c r="I159" s="375">
        <f>SUM(Q86:Q97)</f>
        <v>116678682.80865933</v>
      </c>
      <c r="J159" s="7"/>
      <c r="K159" s="375">
        <f t="shared" ref="K159" si="28">SUM(K86:K97)</f>
        <v>4339088.9996546824</v>
      </c>
      <c r="V159" s="132"/>
      <c r="W159" s="132"/>
      <c r="X159" s="132"/>
      <c r="Y159" s="132"/>
      <c r="Z159" s="132"/>
      <c r="AA159" s="132"/>
      <c r="AB159" s="132"/>
      <c r="AC159" s="132"/>
      <c r="AD159" s="132"/>
    </row>
    <row r="160" spans="1:54">
      <c r="A160" s="2">
        <v>2018</v>
      </c>
      <c r="C160" s="15">
        <f>SUM(C98:C109)</f>
        <v>106275600.00000001</v>
      </c>
      <c r="D160" s="15">
        <f t="shared" ref="D160:E160" si="29">SUM(D98:D109)</f>
        <v>391087.57999999996</v>
      </c>
      <c r="E160" s="15">
        <f t="shared" si="29"/>
        <v>106666687.58000003</v>
      </c>
      <c r="F160" s="15"/>
      <c r="I160" s="375">
        <f>SUM(Q98:Q109)</f>
        <v>116518686.27370985</v>
      </c>
      <c r="J160" s="7"/>
      <c r="K160" s="375">
        <f t="shared" ref="K160" si="30">SUM(K98:K109)</f>
        <v>4882445.1539022345</v>
      </c>
      <c r="V160" s="132"/>
      <c r="W160" s="132"/>
      <c r="X160" s="132"/>
      <c r="Y160" s="132"/>
      <c r="Z160" s="132"/>
      <c r="AA160" s="132"/>
      <c r="AB160" s="132"/>
      <c r="AC160" s="132"/>
      <c r="AD160" s="132"/>
    </row>
    <row r="161" spans="1:30">
      <c r="A161" s="2">
        <v>2019</v>
      </c>
      <c r="C161" s="15">
        <f>SUM(C110:C121)</f>
        <v>104522560</v>
      </c>
      <c r="D161" s="15">
        <f t="shared" ref="D161:E161" si="31">SUM(D110:D121)</f>
        <v>392026.13999999996</v>
      </c>
      <c r="E161" s="15">
        <f t="shared" si="31"/>
        <v>104914586.14000002</v>
      </c>
      <c r="F161" s="15"/>
      <c r="I161" s="375">
        <f>SUM(Q110:Q121)</f>
        <v>114846820.1624752</v>
      </c>
      <c r="J161" s="7"/>
      <c r="K161" s="375">
        <f t="shared" ref="K161" si="32">SUM(K110:K121)</f>
        <v>5540617.4506450873</v>
      </c>
      <c r="V161" s="132"/>
      <c r="W161" s="132"/>
      <c r="X161" s="132"/>
      <c r="Y161" s="132"/>
      <c r="Z161" s="132"/>
      <c r="AA161" s="132"/>
      <c r="AB161" s="132"/>
      <c r="AC161" s="132"/>
      <c r="AD161" s="132"/>
    </row>
    <row r="162" spans="1:30">
      <c r="C162" s="15"/>
      <c r="D162" s="15"/>
      <c r="E162" s="15"/>
      <c r="F162" s="15"/>
      <c r="I162" s="375">
        <f>SUM(Q122:Q133)</f>
        <v>116212182.13211116</v>
      </c>
      <c r="J162" s="7" t="s">
        <v>196</v>
      </c>
      <c r="K162" s="375">
        <f>SUM(K122:K133)</f>
        <v>5679684.6650412511</v>
      </c>
      <c r="Q162" s="376">
        <f>SUM($Q$122:$Q$133)-K162</f>
        <v>110532497.46706991</v>
      </c>
      <c r="V162" s="132"/>
      <c r="W162" s="132"/>
      <c r="X162" s="132"/>
      <c r="Y162" s="132"/>
      <c r="Z162" s="132"/>
      <c r="AA162" s="132"/>
      <c r="AB162" s="132"/>
      <c r="AC162" s="132"/>
      <c r="AD162" s="132"/>
    </row>
    <row r="163" spans="1:30">
      <c r="C163" s="15"/>
      <c r="D163" s="15"/>
      <c r="E163" s="15"/>
      <c r="F163" s="15"/>
      <c r="I163" s="375">
        <f>SUM(Q134:Q145)</f>
        <v>116903325.35710047</v>
      </c>
      <c r="J163" s="354"/>
      <c r="K163" s="375">
        <f>SUM(K134:K145)</f>
        <v>5638923.1951965149</v>
      </c>
      <c r="Q163" s="376">
        <f>SUM($Q$134:$Q$145)-K163</f>
        <v>111264402.16190396</v>
      </c>
      <c r="V163" s="132"/>
      <c r="W163" s="132"/>
      <c r="X163" s="132"/>
      <c r="Y163" s="132"/>
      <c r="Z163" s="132"/>
      <c r="AA163" s="132"/>
      <c r="AB163" s="132"/>
      <c r="AC163" s="132"/>
      <c r="AD163" s="132"/>
    </row>
    <row r="164" spans="1:30">
      <c r="C164" s="15"/>
      <c r="D164" s="213" t="s">
        <v>32</v>
      </c>
      <c r="E164" s="213">
        <f>SUM(E152:E161)</f>
        <v>1079546801.3441427</v>
      </c>
      <c r="F164" s="15"/>
      <c r="I164" s="213">
        <f>SUM(I152:I161)</f>
        <v>1157212180.1264484</v>
      </c>
      <c r="J164" s="217">
        <f>E164-I164</f>
        <v>-77665378.782305717</v>
      </c>
      <c r="P164" s="213" t="s">
        <v>32</v>
      </c>
      <c r="V164" s="132"/>
      <c r="W164" s="132"/>
      <c r="X164" s="132"/>
      <c r="Y164" s="132"/>
      <c r="Z164" s="132"/>
      <c r="AA164" s="132"/>
      <c r="AB164" s="132"/>
      <c r="AC164" s="132"/>
      <c r="AD164" s="132"/>
    </row>
  </sheetData>
  <pageMargins left="0.47" right="0.38" top="0.48" bottom="0.28000000000000003" header="0.3" footer="0.3"/>
  <pageSetup scale="71"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59999389629810485"/>
  </sheetPr>
  <dimension ref="A1:F121"/>
  <sheetViews>
    <sheetView workbookViewId="0">
      <selection activeCell="R148" sqref="R148"/>
    </sheetView>
  </sheetViews>
  <sheetFormatPr defaultRowHeight="15.5"/>
  <cols>
    <col min="1" max="1" width="14.08203125" bestFit="1" customWidth="1"/>
    <col min="2" max="2" width="17.5" bestFit="1" customWidth="1"/>
    <col min="3" max="3" width="17.25" bestFit="1" customWidth="1"/>
    <col min="4" max="4" width="16.33203125" bestFit="1" customWidth="1"/>
    <col min="5" max="5" width="18.75" bestFit="1" customWidth="1"/>
    <col min="6" max="6" width="17.5" bestFit="1" customWidth="1"/>
  </cols>
  <sheetData>
    <row r="1" spans="1:6">
      <c r="A1" t="s">
        <v>221</v>
      </c>
      <c r="B1" t="s">
        <v>15</v>
      </c>
      <c r="C1" t="s">
        <v>46</v>
      </c>
      <c r="D1" t="s">
        <v>16</v>
      </c>
      <c r="E1" t="s">
        <v>78</v>
      </c>
      <c r="F1" t="s">
        <v>153</v>
      </c>
    </row>
    <row r="2" spans="1:6">
      <c r="A2">
        <v>9687848.2124281861</v>
      </c>
      <c r="B2">
        <v>791.5</v>
      </c>
      <c r="C2">
        <v>0</v>
      </c>
      <c r="D2">
        <v>31</v>
      </c>
      <c r="E2">
        <v>633.6</v>
      </c>
      <c r="F2" t="s">
        <v>222</v>
      </c>
    </row>
    <row r="3" spans="1:6">
      <c r="A3">
        <v>8644273.0416846927</v>
      </c>
      <c r="B3">
        <v>680.1</v>
      </c>
      <c r="C3">
        <v>0</v>
      </c>
      <c r="D3">
        <v>28</v>
      </c>
      <c r="E3">
        <v>630.5</v>
      </c>
      <c r="F3">
        <v>3203840.5107670003</v>
      </c>
    </row>
    <row r="4" spans="1:6">
      <c r="A4">
        <v>8923220.9478642754</v>
      </c>
      <c r="B4">
        <v>504.69999999999987</v>
      </c>
      <c r="C4">
        <v>0</v>
      </c>
      <c r="D4">
        <v>31</v>
      </c>
      <c r="E4">
        <v>627.5</v>
      </c>
      <c r="F4">
        <v>3646819.0608330001</v>
      </c>
    </row>
    <row r="5" spans="1:6">
      <c r="A5">
        <v>7908153.4694284732</v>
      </c>
      <c r="B5">
        <v>273.20000000000005</v>
      </c>
      <c r="C5">
        <v>1</v>
      </c>
      <c r="D5">
        <v>30</v>
      </c>
      <c r="E5">
        <v>631.6</v>
      </c>
      <c r="F5">
        <v>3531302.5569770001</v>
      </c>
    </row>
    <row r="6" spans="1:6">
      <c r="A6">
        <v>8228224.4525311328</v>
      </c>
      <c r="B6">
        <v>148.19999999999996</v>
      </c>
      <c r="C6">
        <v>24</v>
      </c>
      <c r="D6">
        <v>31</v>
      </c>
      <c r="E6">
        <v>641.5</v>
      </c>
      <c r="F6">
        <v>3786484.3631810001</v>
      </c>
    </row>
    <row r="7" spans="1:6">
      <c r="A7">
        <v>8110503.1279414855</v>
      </c>
      <c r="B7">
        <v>55.233333333333327</v>
      </c>
      <c r="C7">
        <v>18.7</v>
      </c>
      <c r="D7">
        <v>30</v>
      </c>
      <c r="E7">
        <v>657.2</v>
      </c>
      <c r="F7">
        <v>3861171.0436650002</v>
      </c>
    </row>
    <row r="8" spans="1:6">
      <c r="A8">
        <v>8475743.3418133762</v>
      </c>
      <c r="B8">
        <v>12.7</v>
      </c>
      <c r="C8">
        <v>89.7</v>
      </c>
      <c r="D8">
        <v>31</v>
      </c>
      <c r="E8">
        <v>669.8</v>
      </c>
      <c r="F8">
        <v>3721817.7134580002</v>
      </c>
    </row>
    <row r="9" spans="1:6">
      <c r="A9">
        <v>8815675.8633775748</v>
      </c>
      <c r="B9">
        <v>19.299999999999997</v>
      </c>
      <c r="C9">
        <v>82.000000000000014</v>
      </c>
      <c r="D9">
        <v>31</v>
      </c>
      <c r="E9">
        <v>672</v>
      </c>
      <c r="F9">
        <v>4170740.4139440004</v>
      </c>
    </row>
    <row r="10" spans="1:6">
      <c r="A10">
        <v>8222108.3849417735</v>
      </c>
      <c r="B10">
        <v>137</v>
      </c>
      <c r="C10">
        <v>15.5</v>
      </c>
      <c r="D10">
        <v>30</v>
      </c>
      <c r="E10">
        <v>665.1</v>
      </c>
      <c r="F10">
        <v>3919808.5180150005</v>
      </c>
    </row>
    <row r="11" spans="1:6">
      <c r="A11">
        <v>8622517.8295828942</v>
      </c>
      <c r="B11">
        <v>300.99999999999994</v>
      </c>
      <c r="C11">
        <v>0</v>
      </c>
      <c r="D11">
        <v>31</v>
      </c>
      <c r="E11">
        <v>657.2</v>
      </c>
      <c r="F11">
        <v>3943157.2559859999</v>
      </c>
    </row>
    <row r="12" spans="1:6">
      <c r="A12">
        <v>8952573.4280701689</v>
      </c>
      <c r="B12">
        <v>439.26666666666659</v>
      </c>
      <c r="C12">
        <v>0</v>
      </c>
      <c r="D12">
        <v>30</v>
      </c>
      <c r="E12">
        <v>622.20000000000005</v>
      </c>
      <c r="F12">
        <v>3894738.300245</v>
      </c>
    </row>
    <row r="13" spans="1:6">
      <c r="A13">
        <v>9522021.3342497535</v>
      </c>
      <c r="B13">
        <v>744.29999999999984</v>
      </c>
      <c r="C13">
        <v>0</v>
      </c>
      <c r="D13">
        <v>31</v>
      </c>
      <c r="E13">
        <v>653.29999999999995</v>
      </c>
      <c r="F13">
        <v>3453655.6664740001</v>
      </c>
    </row>
    <row r="14" spans="1:6">
      <c r="A14">
        <v>10024314.15915578</v>
      </c>
      <c r="B14">
        <v>866.5</v>
      </c>
      <c r="C14">
        <v>0</v>
      </c>
      <c r="D14">
        <v>31</v>
      </c>
      <c r="E14">
        <v>649.29999999999995</v>
      </c>
      <c r="F14">
        <v>3844682.6114840005</v>
      </c>
    </row>
    <row r="15" spans="1:6">
      <c r="A15">
        <v>9253437.7532925773</v>
      </c>
      <c r="B15">
        <v>720.4000000000002</v>
      </c>
      <c r="C15">
        <v>0</v>
      </c>
      <c r="D15">
        <v>29</v>
      </c>
      <c r="E15">
        <v>651.20000000000005</v>
      </c>
      <c r="F15">
        <v>3768297.0046930001</v>
      </c>
    </row>
    <row r="16" spans="1:6">
      <c r="A16">
        <v>9950792.1166601442</v>
      </c>
      <c r="B16">
        <v>660.1</v>
      </c>
      <c r="C16">
        <v>0</v>
      </c>
      <c r="D16">
        <v>31</v>
      </c>
      <c r="E16">
        <v>657.1</v>
      </c>
      <c r="F16">
        <v>4320214.4097060002</v>
      </c>
    </row>
    <row r="17" spans="1:6">
      <c r="A17">
        <v>8128715.7107969401</v>
      </c>
      <c r="B17">
        <v>379.3</v>
      </c>
      <c r="C17">
        <v>0</v>
      </c>
      <c r="D17">
        <v>30</v>
      </c>
      <c r="E17">
        <v>666.4</v>
      </c>
      <c r="F17">
        <v>3411269.8554350003</v>
      </c>
    </row>
    <row r="18" spans="1:6">
      <c r="A18">
        <v>8102639.304933737</v>
      </c>
      <c r="B18">
        <v>168.09999999999997</v>
      </c>
      <c r="C18">
        <v>12.8</v>
      </c>
      <c r="D18">
        <v>31</v>
      </c>
      <c r="E18">
        <v>671.5</v>
      </c>
      <c r="F18">
        <v>3753615.9545820006</v>
      </c>
    </row>
    <row r="19" spans="1:6">
      <c r="A19">
        <v>8080324.437532072</v>
      </c>
      <c r="B19">
        <v>64.099999999999994</v>
      </c>
      <c r="C19">
        <v>16.400000000000002</v>
      </c>
      <c r="D19">
        <v>30</v>
      </c>
      <c r="E19">
        <v>681.8</v>
      </c>
      <c r="F19">
        <v>3885859.6709010005</v>
      </c>
    </row>
    <row r="20" spans="1:6">
      <c r="A20">
        <v>8418001.8778227139</v>
      </c>
      <c r="B20">
        <v>3.7</v>
      </c>
      <c r="C20">
        <v>104.29999999999998</v>
      </c>
      <c r="D20">
        <v>31</v>
      </c>
      <c r="E20">
        <v>691.5</v>
      </c>
      <c r="F20">
        <v>3654592.0448179999</v>
      </c>
    </row>
    <row r="21" spans="1:6">
      <c r="A21">
        <v>9008056.2411902808</v>
      </c>
      <c r="B21">
        <v>13.6</v>
      </c>
      <c r="C21">
        <v>53.300000000000004</v>
      </c>
      <c r="D21">
        <v>31</v>
      </c>
      <c r="E21">
        <v>694.9</v>
      </c>
      <c r="F21">
        <v>4498564.7389930002</v>
      </c>
    </row>
    <row r="22" spans="1:6">
      <c r="A22">
        <v>8523749.0660963096</v>
      </c>
      <c r="B22">
        <v>106.33333333333331</v>
      </c>
      <c r="C22">
        <v>20.7</v>
      </c>
      <c r="D22">
        <v>30</v>
      </c>
      <c r="E22">
        <v>688.6</v>
      </c>
      <c r="F22">
        <v>4242244.9229550008</v>
      </c>
    </row>
    <row r="23" spans="1:6">
      <c r="A23">
        <v>9088741.8910023365</v>
      </c>
      <c r="B23">
        <v>276.60000000000008</v>
      </c>
      <c r="C23">
        <v>0.3</v>
      </c>
      <c r="D23">
        <v>31</v>
      </c>
      <c r="E23">
        <v>682.2</v>
      </c>
      <c r="F23">
        <v>4411473.7128020003</v>
      </c>
    </row>
    <row r="24" spans="1:6">
      <c r="A24">
        <v>9021357.7928314414</v>
      </c>
      <c r="B24">
        <v>399.39999999999992</v>
      </c>
      <c r="C24">
        <v>0</v>
      </c>
      <c r="D24">
        <v>30</v>
      </c>
      <c r="E24">
        <v>677</v>
      </c>
      <c r="F24">
        <v>4082024.3273420003</v>
      </c>
    </row>
    <row r="25" spans="1:6">
      <c r="A25">
        <v>9500935.2331220824</v>
      </c>
      <c r="B25">
        <v>609.79999999999984</v>
      </c>
      <c r="C25">
        <v>0</v>
      </c>
      <c r="D25">
        <v>31</v>
      </c>
      <c r="E25">
        <v>676.6</v>
      </c>
      <c r="F25">
        <v>3790571.2206960004</v>
      </c>
    </row>
    <row r="26" spans="1:6">
      <c r="A26">
        <v>10120284.040010687</v>
      </c>
      <c r="B26">
        <v>694.59999999999991</v>
      </c>
      <c r="C26">
        <v>0</v>
      </c>
      <c r="D26">
        <v>31</v>
      </c>
      <c r="E26">
        <v>670.9</v>
      </c>
      <c r="F26">
        <v>4250569.7720590001</v>
      </c>
    </row>
    <row r="27" spans="1:6">
      <c r="A27">
        <v>9420771.3084377497</v>
      </c>
      <c r="B27">
        <v>611.39999999999986</v>
      </c>
      <c r="C27">
        <v>0</v>
      </c>
      <c r="D27">
        <v>28</v>
      </c>
      <c r="E27">
        <v>668.7</v>
      </c>
      <c r="F27">
        <v>4141903.1103710001</v>
      </c>
    </row>
    <row r="28" spans="1:6">
      <c r="A28">
        <v>9566904.7307109665</v>
      </c>
      <c r="B28">
        <v>388.69999999999987</v>
      </c>
      <c r="C28">
        <v>3.4000000000000004</v>
      </c>
      <c r="D28">
        <v>31</v>
      </c>
      <c r="E28">
        <v>666</v>
      </c>
      <c r="F28">
        <v>4592873.6529520005</v>
      </c>
    </row>
    <row r="29" spans="1:6">
      <c r="A29">
        <v>8689245.8452918753</v>
      </c>
      <c r="B29">
        <v>399</v>
      </c>
      <c r="C29">
        <v>0</v>
      </c>
      <c r="D29">
        <v>30</v>
      </c>
      <c r="E29">
        <v>667.4</v>
      </c>
      <c r="F29">
        <v>4218127.1515630009</v>
      </c>
    </row>
    <row r="30" spans="1:6">
      <c r="A30">
        <v>8776040.8060266282</v>
      </c>
      <c r="B30">
        <v>123.8</v>
      </c>
      <c r="C30">
        <v>17.400000000000002</v>
      </c>
      <c r="D30">
        <v>31</v>
      </c>
      <c r="E30">
        <v>672.1</v>
      </c>
      <c r="F30">
        <v>4557567.8623670004</v>
      </c>
    </row>
    <row r="31" spans="1:6">
      <c r="A31">
        <v>8806175.6269012466</v>
      </c>
      <c r="B31">
        <v>56.4</v>
      </c>
      <c r="C31">
        <v>57.100000000000009</v>
      </c>
      <c r="D31">
        <v>30</v>
      </c>
      <c r="E31">
        <v>678.4</v>
      </c>
      <c r="F31">
        <v>4499265.5448909998</v>
      </c>
    </row>
    <row r="32" spans="1:6">
      <c r="A32">
        <v>8940119.538684953</v>
      </c>
      <c r="B32">
        <v>0.4</v>
      </c>
      <c r="C32">
        <v>94.000000000000028</v>
      </c>
      <c r="D32">
        <v>31</v>
      </c>
      <c r="E32">
        <v>682</v>
      </c>
      <c r="F32">
        <v>4141164.2481300007</v>
      </c>
    </row>
    <row r="33" spans="1:6">
      <c r="A33">
        <v>9375417.9959232062</v>
      </c>
      <c r="B33">
        <v>22.5</v>
      </c>
      <c r="C33">
        <v>50.7</v>
      </c>
      <c r="D33">
        <v>31</v>
      </c>
      <c r="E33">
        <v>678.5</v>
      </c>
      <c r="F33">
        <v>4856393.7889999999</v>
      </c>
    </row>
    <row r="34" spans="1:6">
      <c r="A34">
        <v>8628261.9077069126</v>
      </c>
      <c r="B34">
        <v>134.69999999999999</v>
      </c>
      <c r="C34">
        <v>15.300000000000002</v>
      </c>
      <c r="D34">
        <v>30</v>
      </c>
      <c r="E34">
        <v>671.9</v>
      </c>
      <c r="F34">
        <v>4216762.1303469995</v>
      </c>
    </row>
    <row r="35" spans="1:6">
      <c r="A35">
        <v>9335892.7323562615</v>
      </c>
      <c r="B35">
        <v>292.2</v>
      </c>
      <c r="C35">
        <v>0</v>
      </c>
      <c r="D35">
        <v>31</v>
      </c>
      <c r="E35">
        <v>672.8</v>
      </c>
      <c r="F35">
        <v>4599891.7149360003</v>
      </c>
    </row>
    <row r="36" spans="1:6">
      <c r="A36">
        <v>9200451.0194129627</v>
      </c>
      <c r="B36">
        <v>505.72222222222223</v>
      </c>
      <c r="C36">
        <v>0</v>
      </c>
      <c r="D36">
        <v>30</v>
      </c>
      <c r="E36">
        <v>676.8</v>
      </c>
      <c r="F36">
        <v>4092980.1542040003</v>
      </c>
    </row>
    <row r="37" spans="1:6">
      <c r="A37">
        <v>9454209.3064696658</v>
      </c>
      <c r="B37">
        <v>590.9</v>
      </c>
      <c r="C37">
        <v>0</v>
      </c>
      <c r="D37">
        <v>31</v>
      </c>
      <c r="E37">
        <v>682.7</v>
      </c>
      <c r="F37">
        <v>3797850.4767240002</v>
      </c>
    </row>
    <row r="38" spans="1:6">
      <c r="A38">
        <v>10418306.029366469</v>
      </c>
      <c r="B38">
        <v>703.36666666666667</v>
      </c>
      <c r="C38">
        <v>0</v>
      </c>
      <c r="D38">
        <v>31</v>
      </c>
      <c r="E38">
        <v>681.6</v>
      </c>
      <c r="F38">
        <v>4525946.9213760002</v>
      </c>
    </row>
    <row r="39" spans="1:6">
      <c r="A39">
        <v>9574926.9946875144</v>
      </c>
      <c r="B39">
        <v>699.59999999999991</v>
      </c>
      <c r="C39">
        <v>0</v>
      </c>
      <c r="D39">
        <v>28</v>
      </c>
      <c r="E39">
        <v>682.6</v>
      </c>
      <c r="F39">
        <v>4293131.7804840002</v>
      </c>
    </row>
    <row r="40" spans="1:6">
      <c r="A40">
        <v>10021914.626675224</v>
      </c>
      <c r="B40">
        <v>649</v>
      </c>
      <c r="C40">
        <v>0</v>
      </c>
      <c r="D40">
        <v>31</v>
      </c>
      <c r="E40">
        <v>683.6</v>
      </c>
      <c r="F40">
        <v>4392825.450348001</v>
      </c>
    </row>
    <row r="41" spans="1:6">
      <c r="A41">
        <v>9401977.2586629353</v>
      </c>
      <c r="B41">
        <v>414.2</v>
      </c>
      <c r="C41">
        <v>0</v>
      </c>
      <c r="D41">
        <v>30</v>
      </c>
      <c r="E41">
        <v>685.4</v>
      </c>
      <c r="F41">
        <v>4685486.2900200011</v>
      </c>
    </row>
    <row r="42" spans="1:6">
      <c r="A42">
        <v>9087214.8906506468</v>
      </c>
      <c r="B42">
        <v>160.66666666666669</v>
      </c>
      <c r="C42">
        <v>18.7</v>
      </c>
      <c r="D42">
        <v>31</v>
      </c>
      <c r="E42">
        <v>690.3</v>
      </c>
      <c r="F42">
        <v>4795234.6969560003</v>
      </c>
    </row>
    <row r="43" spans="1:6">
      <c r="A43">
        <v>8737702.5226383582</v>
      </c>
      <c r="B43">
        <v>67.399999999999991</v>
      </c>
      <c r="C43">
        <v>35.000000000000007</v>
      </c>
      <c r="D43">
        <v>30</v>
      </c>
      <c r="E43">
        <v>696.7</v>
      </c>
      <c r="F43">
        <v>4516928.1643200004</v>
      </c>
    </row>
    <row r="44" spans="1:6">
      <c r="A44">
        <v>9008515.1546260696</v>
      </c>
      <c r="B44">
        <v>19.599999999999998</v>
      </c>
      <c r="C44">
        <v>75.899999999999991</v>
      </c>
      <c r="D44">
        <v>31</v>
      </c>
      <c r="E44">
        <v>702.8</v>
      </c>
      <c r="F44">
        <v>4372227.4551960006</v>
      </c>
    </row>
    <row r="45" spans="1:6">
      <c r="A45">
        <v>9092252.786613781</v>
      </c>
      <c r="B45">
        <v>33.9</v>
      </c>
      <c r="C45">
        <v>34.5</v>
      </c>
      <c r="D45">
        <v>31</v>
      </c>
      <c r="E45">
        <v>701.4</v>
      </c>
      <c r="F45">
        <v>4771016.3547840007</v>
      </c>
    </row>
    <row r="46" spans="1:6">
      <c r="A46">
        <v>8728573.7519348226</v>
      </c>
      <c r="B46">
        <v>133.1</v>
      </c>
      <c r="C46">
        <v>17.2</v>
      </c>
      <c r="D46">
        <v>30</v>
      </c>
      <c r="E46">
        <v>698.4</v>
      </c>
      <c r="F46">
        <v>4513364.5799520016</v>
      </c>
    </row>
    <row r="47" spans="1:6">
      <c r="A47">
        <v>9505753.050589202</v>
      </c>
      <c r="B47">
        <v>270.68888888888893</v>
      </c>
      <c r="C47">
        <v>0</v>
      </c>
      <c r="D47">
        <v>31</v>
      </c>
      <c r="E47">
        <v>698.4</v>
      </c>
      <c r="F47">
        <v>4880786.5687800003</v>
      </c>
    </row>
    <row r="48" spans="1:6">
      <c r="A48">
        <v>9765982.3492435794</v>
      </c>
      <c r="B48">
        <v>557.36666666666667</v>
      </c>
      <c r="C48">
        <v>0</v>
      </c>
      <c r="D48">
        <v>30</v>
      </c>
      <c r="E48">
        <v>700</v>
      </c>
      <c r="F48">
        <v>4552412.9659799999</v>
      </c>
    </row>
    <row r="49" spans="1:6">
      <c r="A49">
        <v>10008933.467897955</v>
      </c>
      <c r="B49">
        <v>767.19999999999993</v>
      </c>
      <c r="C49">
        <v>0</v>
      </c>
      <c r="D49">
        <v>31</v>
      </c>
      <c r="E49">
        <v>695.4</v>
      </c>
      <c r="F49">
        <v>4004842.5651600002</v>
      </c>
    </row>
    <row r="50" spans="1:6">
      <c r="A50">
        <v>11010775.048437918</v>
      </c>
      <c r="B50">
        <v>899.69999999999982</v>
      </c>
      <c r="C50">
        <v>0</v>
      </c>
      <c r="D50">
        <v>31</v>
      </c>
      <c r="E50">
        <v>689.4</v>
      </c>
      <c r="F50">
        <v>4667489.5395720005</v>
      </c>
    </row>
    <row r="51" spans="1:6">
      <c r="A51">
        <v>9924151.8289778791</v>
      </c>
      <c r="B51">
        <v>820.9666666666667</v>
      </c>
      <c r="C51">
        <v>0</v>
      </c>
      <c r="D51">
        <v>28</v>
      </c>
      <c r="E51">
        <v>682.3</v>
      </c>
      <c r="F51">
        <v>4342400.5729440004</v>
      </c>
    </row>
    <row r="52" spans="1:6">
      <c r="A52">
        <v>10612941.632851169</v>
      </c>
      <c r="B52">
        <v>767.15555555555545</v>
      </c>
      <c r="C52">
        <v>0</v>
      </c>
      <c r="D52">
        <v>31</v>
      </c>
      <c r="E52">
        <v>680.2</v>
      </c>
      <c r="F52">
        <v>4788788.5728840008</v>
      </c>
    </row>
    <row r="53" spans="1:6">
      <c r="A53">
        <v>9403712.4600577988</v>
      </c>
      <c r="B53">
        <v>423.06666666666666</v>
      </c>
      <c r="C53">
        <v>0</v>
      </c>
      <c r="D53">
        <v>30</v>
      </c>
      <c r="E53">
        <v>679.4</v>
      </c>
      <c r="F53">
        <v>4624196.0958720008</v>
      </c>
    </row>
    <row r="54" spans="1:6">
      <c r="A54">
        <v>9233687.1113669872</v>
      </c>
      <c r="B54">
        <v>185.6</v>
      </c>
      <c r="C54">
        <v>7.6000000000000005</v>
      </c>
      <c r="D54">
        <v>31</v>
      </c>
      <c r="E54">
        <v>690</v>
      </c>
      <c r="F54">
        <v>4967134.5322440006</v>
      </c>
    </row>
    <row r="55" spans="1:6">
      <c r="A55">
        <v>8781885.6506248955</v>
      </c>
      <c r="B55">
        <v>35.999999999999993</v>
      </c>
      <c r="C55">
        <v>44</v>
      </c>
      <c r="D55">
        <v>30</v>
      </c>
      <c r="E55">
        <v>704.4</v>
      </c>
      <c r="F55">
        <v>4578201.0414120005</v>
      </c>
    </row>
    <row r="56" spans="1:6">
      <c r="A56">
        <v>8767642.3014212679</v>
      </c>
      <c r="B56">
        <v>59.100000000000009</v>
      </c>
      <c r="C56">
        <v>25.700000000000003</v>
      </c>
      <c r="D56">
        <v>31</v>
      </c>
      <c r="E56">
        <v>715.1</v>
      </c>
      <c r="F56">
        <v>4518532.7781600012</v>
      </c>
    </row>
    <row r="57" spans="1:6">
      <c r="A57">
        <v>9148985.6776022539</v>
      </c>
      <c r="B57">
        <v>40.5</v>
      </c>
      <c r="C57">
        <v>32.400000000000006</v>
      </c>
      <c r="D57">
        <v>31</v>
      </c>
      <c r="E57">
        <v>718.7</v>
      </c>
      <c r="F57">
        <v>4873161.1167599997</v>
      </c>
    </row>
    <row r="58" spans="1:6">
      <c r="A58">
        <v>9109809.8537832387</v>
      </c>
      <c r="B58">
        <v>117.19999999999999</v>
      </c>
      <c r="C58">
        <v>12.399999999999999</v>
      </c>
      <c r="D58">
        <v>30</v>
      </c>
      <c r="E58">
        <v>719.3</v>
      </c>
      <c r="F58">
        <v>4845022.72248</v>
      </c>
    </row>
    <row r="59" spans="1:6">
      <c r="A59">
        <v>9622752.0184257627</v>
      </c>
      <c r="B59">
        <v>292.40000000000003</v>
      </c>
      <c r="C59">
        <v>0</v>
      </c>
      <c r="D59">
        <v>31</v>
      </c>
      <c r="E59">
        <v>723.5</v>
      </c>
      <c r="F59">
        <v>4964576.7409200007</v>
      </c>
    </row>
    <row r="60" spans="1:6">
      <c r="A60">
        <v>9602483.0015298259</v>
      </c>
      <c r="B60">
        <v>548.06666666666661</v>
      </c>
      <c r="C60">
        <v>0</v>
      </c>
      <c r="D60">
        <v>30</v>
      </c>
      <c r="E60">
        <v>721</v>
      </c>
      <c r="F60">
        <v>4377795.0494400002</v>
      </c>
    </row>
    <row r="61" spans="1:6">
      <c r="A61">
        <v>9662841.6477108095</v>
      </c>
      <c r="B61">
        <v>623.73333333333346</v>
      </c>
      <c r="C61">
        <v>0</v>
      </c>
      <c r="D61">
        <v>31</v>
      </c>
      <c r="E61">
        <v>714.3</v>
      </c>
      <c r="F61">
        <v>3953464.1673599998</v>
      </c>
    </row>
    <row r="62" spans="1:6">
      <c r="A62">
        <v>10699711.276908286</v>
      </c>
      <c r="B62">
        <v>871.19999999999993</v>
      </c>
      <c r="C62">
        <v>0</v>
      </c>
      <c r="D62">
        <v>31</v>
      </c>
      <c r="E62">
        <v>705.7</v>
      </c>
      <c r="F62">
        <v>4513683.0380400009</v>
      </c>
    </row>
    <row r="63" spans="1:6">
      <c r="A63">
        <v>10210487.395336527</v>
      </c>
      <c r="B63">
        <v>928.1</v>
      </c>
      <c r="C63">
        <v>0</v>
      </c>
      <c r="D63">
        <v>28</v>
      </c>
      <c r="E63">
        <v>700.1</v>
      </c>
      <c r="F63">
        <v>4307574.8160000006</v>
      </c>
    </row>
    <row r="64" spans="1:6">
      <c r="A64">
        <v>10547012.194534002</v>
      </c>
      <c r="B64">
        <v>701.5</v>
      </c>
      <c r="C64">
        <v>0</v>
      </c>
      <c r="D64">
        <v>31</v>
      </c>
      <c r="E64">
        <v>698.3</v>
      </c>
      <c r="F64">
        <v>4884586.8374400008</v>
      </c>
    </row>
    <row r="65" spans="1:6">
      <c r="A65">
        <v>9316236.8145007044</v>
      </c>
      <c r="B65">
        <v>382.84999999999997</v>
      </c>
      <c r="C65">
        <v>0</v>
      </c>
      <c r="D65">
        <v>30</v>
      </c>
      <c r="E65">
        <v>697.6</v>
      </c>
      <c r="F65">
        <v>4732559.1597600011</v>
      </c>
    </row>
    <row r="66" spans="1:6">
      <c r="A66">
        <v>9235676.0229289476</v>
      </c>
      <c r="B66">
        <v>135.30000000000001</v>
      </c>
      <c r="C66">
        <v>23.4</v>
      </c>
      <c r="D66">
        <v>31</v>
      </c>
      <c r="E66">
        <v>704.9</v>
      </c>
      <c r="F66">
        <v>5023122.8568000002</v>
      </c>
    </row>
    <row r="67" spans="1:6">
      <c r="A67">
        <v>9064852.2259725761</v>
      </c>
      <c r="B67">
        <v>59.199999999999996</v>
      </c>
      <c r="C67">
        <v>5.7</v>
      </c>
      <c r="D67">
        <v>30</v>
      </c>
      <c r="E67">
        <v>715.1</v>
      </c>
      <c r="F67">
        <v>4909277.7873600004</v>
      </c>
    </row>
    <row r="68" spans="1:6">
      <c r="A68">
        <v>9341981.309785435</v>
      </c>
      <c r="B68">
        <v>31.3</v>
      </c>
      <c r="C68">
        <v>43.4</v>
      </c>
      <c r="D68">
        <v>31</v>
      </c>
      <c r="E68">
        <v>716.6</v>
      </c>
      <c r="F68">
        <v>4834398.45144</v>
      </c>
    </row>
    <row r="69" spans="1:6">
      <c r="A69">
        <v>9428982.5635982919</v>
      </c>
      <c r="B69">
        <v>35</v>
      </c>
      <c r="C69">
        <v>38.1</v>
      </c>
      <c r="D69">
        <v>31</v>
      </c>
      <c r="E69">
        <v>713.1</v>
      </c>
      <c r="F69">
        <v>5059556.1852000002</v>
      </c>
    </row>
    <row r="70" spans="1:6">
      <c r="A70">
        <v>9453700.0143342298</v>
      </c>
      <c r="B70">
        <v>58</v>
      </c>
      <c r="C70">
        <v>47.449999999999996</v>
      </c>
      <c r="D70">
        <v>30</v>
      </c>
      <c r="E70">
        <v>710.2</v>
      </c>
      <c r="F70">
        <v>5022140.1996000009</v>
      </c>
    </row>
    <row r="71" spans="1:6">
      <c r="A71">
        <v>9500068.1181470864</v>
      </c>
      <c r="B71">
        <v>310.5</v>
      </c>
      <c r="C71">
        <v>0</v>
      </c>
      <c r="D71">
        <v>31</v>
      </c>
      <c r="E71">
        <v>716.9</v>
      </c>
      <c r="F71">
        <v>4871537.3212800017</v>
      </c>
    </row>
    <row r="72" spans="1:6">
      <c r="A72">
        <v>9288763.1388830226</v>
      </c>
      <c r="B72">
        <v>387.09999999999997</v>
      </c>
      <c r="C72">
        <v>0</v>
      </c>
      <c r="D72">
        <v>30</v>
      </c>
      <c r="E72">
        <v>721</v>
      </c>
      <c r="F72">
        <v>4473873.8481600014</v>
      </c>
    </row>
    <row r="73" spans="1:6">
      <c r="A73">
        <v>9224312.8788497262</v>
      </c>
      <c r="B73">
        <v>491.90000000000003</v>
      </c>
      <c r="C73">
        <v>0</v>
      </c>
      <c r="D73">
        <v>31</v>
      </c>
      <c r="E73">
        <v>718.7</v>
      </c>
      <c r="F73">
        <v>3903048.2806800003</v>
      </c>
    </row>
    <row r="74" spans="1:6">
      <c r="A74">
        <v>10188936.043754911</v>
      </c>
      <c r="B74">
        <v>744.95000000000016</v>
      </c>
      <c r="C74">
        <v>0</v>
      </c>
      <c r="D74">
        <v>31</v>
      </c>
      <c r="E74">
        <v>715.8</v>
      </c>
      <c r="F74">
        <v>4405570.5999600012</v>
      </c>
    </row>
    <row r="75" spans="1:6">
      <c r="A75">
        <v>9672916.8786600977</v>
      </c>
      <c r="B75">
        <v>660.05</v>
      </c>
      <c r="C75">
        <v>0</v>
      </c>
      <c r="D75">
        <v>29</v>
      </c>
      <c r="E75">
        <v>710.9</v>
      </c>
      <c r="F75">
        <v>4328369.4283199999</v>
      </c>
    </row>
    <row r="76" spans="1:6">
      <c r="A76">
        <v>9697367.1420268249</v>
      </c>
      <c r="B76">
        <v>522.60000000000014</v>
      </c>
      <c r="C76">
        <v>0</v>
      </c>
      <c r="D76">
        <v>31</v>
      </c>
      <c r="E76">
        <v>709.4</v>
      </c>
      <c r="F76">
        <v>4524814.9260000009</v>
      </c>
    </row>
    <row r="77" spans="1:6">
      <c r="A77">
        <v>9142786.5261627808</v>
      </c>
      <c r="B77">
        <v>438.15</v>
      </c>
      <c r="C77">
        <v>0</v>
      </c>
      <c r="D77">
        <v>30</v>
      </c>
      <c r="E77">
        <v>707.4</v>
      </c>
      <c r="F77">
        <v>4449082.70364</v>
      </c>
    </row>
    <row r="78" spans="1:6">
      <c r="A78">
        <v>8820894.526270017</v>
      </c>
      <c r="B78">
        <v>187.6</v>
      </c>
      <c r="C78">
        <v>22.4</v>
      </c>
      <c r="D78">
        <v>31</v>
      </c>
      <c r="E78">
        <v>712.4</v>
      </c>
      <c r="F78">
        <v>4474575.7718400005</v>
      </c>
    </row>
    <row r="79" spans="1:6">
      <c r="A79">
        <v>8936219.8901442084</v>
      </c>
      <c r="B79">
        <v>66.550000000000026</v>
      </c>
      <c r="C79">
        <v>27.55</v>
      </c>
      <c r="D79">
        <v>30</v>
      </c>
      <c r="E79">
        <v>714.6</v>
      </c>
      <c r="F79">
        <v>4649234.5382400006</v>
      </c>
    </row>
    <row r="80" spans="1:6">
      <c r="A80">
        <v>8689394.8178645521</v>
      </c>
      <c r="B80">
        <v>17.3</v>
      </c>
      <c r="C80">
        <v>83</v>
      </c>
      <c r="D80">
        <v>31</v>
      </c>
      <c r="E80">
        <v>712.3</v>
      </c>
      <c r="F80">
        <v>3951977.6131199999</v>
      </c>
    </row>
    <row r="81" spans="1:6">
      <c r="A81">
        <v>9989419.6640464347</v>
      </c>
      <c r="B81">
        <v>3</v>
      </c>
      <c r="C81">
        <v>91.249999999999986</v>
      </c>
      <c r="D81">
        <v>31</v>
      </c>
      <c r="E81">
        <v>707.1</v>
      </c>
      <c r="F81">
        <v>5045746.9622400003</v>
      </c>
    </row>
    <row r="82" spans="1:6">
      <c r="A82">
        <v>9259822.0502283182</v>
      </c>
      <c r="B82">
        <v>66.599999999999994</v>
      </c>
      <c r="C82">
        <v>25.1</v>
      </c>
      <c r="D82">
        <v>30</v>
      </c>
      <c r="E82">
        <v>702.4</v>
      </c>
      <c r="F82">
        <v>4829712.546240001</v>
      </c>
    </row>
    <row r="83" spans="1:6">
      <c r="A83">
        <v>9292688.1056409702</v>
      </c>
      <c r="B83">
        <v>250.79999999999995</v>
      </c>
      <c r="C83">
        <v>1.5</v>
      </c>
      <c r="D83">
        <v>31</v>
      </c>
      <c r="E83">
        <v>702.3</v>
      </c>
      <c r="F83">
        <v>4731581.3356800005</v>
      </c>
    </row>
    <row r="84" spans="1:6">
      <c r="A84">
        <v>9435804.3564382363</v>
      </c>
      <c r="B84">
        <v>383.15</v>
      </c>
      <c r="C84">
        <v>0</v>
      </c>
      <c r="D84">
        <v>30</v>
      </c>
      <c r="E84">
        <v>680.08</v>
      </c>
      <c r="F84">
        <v>4636842.8889600011</v>
      </c>
    </row>
    <row r="85" spans="1:6">
      <c r="A85">
        <v>9776934.7803124283</v>
      </c>
      <c r="B85">
        <v>678.6</v>
      </c>
      <c r="C85">
        <v>0</v>
      </c>
      <c r="D85">
        <v>31</v>
      </c>
      <c r="E85">
        <v>678.47</v>
      </c>
      <c r="F85">
        <v>4074210.2448000005</v>
      </c>
    </row>
    <row r="86" spans="1:6">
      <c r="A86">
        <v>10283523.957267543</v>
      </c>
      <c r="B86">
        <v>683</v>
      </c>
      <c r="C86">
        <v>0</v>
      </c>
      <c r="D86">
        <v>31</v>
      </c>
      <c r="E86">
        <v>695.3</v>
      </c>
      <c r="F86">
        <v>4687093.2816000003</v>
      </c>
    </row>
    <row r="87" spans="1:6">
      <c r="A87">
        <v>9172313.2685816325</v>
      </c>
      <c r="B87">
        <v>559.29999999999995</v>
      </c>
      <c r="C87">
        <v>0</v>
      </c>
      <c r="D87">
        <v>28</v>
      </c>
      <c r="E87">
        <v>696.5</v>
      </c>
      <c r="F87">
        <v>4246252.9632000001</v>
      </c>
    </row>
    <row r="88" spans="1:6">
      <c r="A88">
        <v>10100888.640371913</v>
      </c>
      <c r="B88">
        <v>649.80000000000007</v>
      </c>
      <c r="C88">
        <v>0</v>
      </c>
      <c r="D88">
        <v>31</v>
      </c>
      <c r="E88">
        <v>697.8</v>
      </c>
      <c r="F88">
        <v>4726110.9715199992</v>
      </c>
    </row>
    <row r="89" spans="1:6">
      <c r="A89">
        <v>8723573.5235907622</v>
      </c>
      <c r="B89">
        <v>306.90000000000003</v>
      </c>
      <c r="C89">
        <v>0</v>
      </c>
      <c r="D89">
        <v>30</v>
      </c>
      <c r="E89">
        <v>705.6</v>
      </c>
      <c r="F89">
        <v>4367735.7321600001</v>
      </c>
    </row>
    <row r="90" spans="1:6">
      <c r="A90">
        <v>8915456.2077619955</v>
      </c>
      <c r="B90">
        <v>228.2</v>
      </c>
      <c r="C90">
        <v>2.8</v>
      </c>
      <c r="D90">
        <v>31</v>
      </c>
      <c r="E90">
        <v>717.2</v>
      </c>
      <c r="F90">
        <v>4615335.4579200009</v>
      </c>
    </row>
    <row r="91" spans="1:6">
      <c r="A91">
        <v>8922701.6109808479</v>
      </c>
      <c r="B91">
        <v>57.099999999999994</v>
      </c>
      <c r="C91">
        <v>33.200000000000003</v>
      </c>
      <c r="D91">
        <v>30</v>
      </c>
      <c r="E91">
        <v>736.2</v>
      </c>
      <c r="F91">
        <v>4628753.59968</v>
      </c>
    </row>
    <row r="92" spans="1:6">
      <c r="A92">
        <v>8755364.1384854112</v>
      </c>
      <c r="B92">
        <v>9.4</v>
      </c>
      <c r="C92">
        <v>37.800000000000004</v>
      </c>
      <c r="D92">
        <v>31</v>
      </c>
      <c r="E92">
        <v>747.1</v>
      </c>
      <c r="F92">
        <v>4242128.5584000004</v>
      </c>
    </row>
    <row r="93" spans="1:6">
      <c r="A93">
        <v>9393962.442180451</v>
      </c>
      <c r="B93">
        <v>47.399999999999991</v>
      </c>
      <c r="C93">
        <v>26.3</v>
      </c>
      <c r="D93">
        <v>31</v>
      </c>
      <c r="E93">
        <v>752.8</v>
      </c>
      <c r="F93">
        <v>4968790.0761599997</v>
      </c>
    </row>
    <row r="94" spans="1:6">
      <c r="A94">
        <v>8917410.5525421631</v>
      </c>
      <c r="B94">
        <v>92.4</v>
      </c>
      <c r="C94">
        <v>38.799999999999997</v>
      </c>
      <c r="D94">
        <v>30</v>
      </c>
      <c r="E94">
        <v>744.4</v>
      </c>
      <c r="F94">
        <v>4504351.1932799993</v>
      </c>
    </row>
    <row r="95" spans="1:6">
      <c r="A95">
        <v>9254862.6495705359</v>
      </c>
      <c r="B95">
        <v>206.3</v>
      </c>
      <c r="C95">
        <v>1.4</v>
      </c>
      <c r="D95">
        <v>31</v>
      </c>
      <c r="E95">
        <v>735</v>
      </c>
      <c r="F95">
        <v>4755960.1324800001</v>
      </c>
    </row>
    <row r="96" spans="1:6">
      <c r="A96">
        <v>9622535.9265989121</v>
      </c>
      <c r="B96">
        <v>506.2999999999999</v>
      </c>
      <c r="C96">
        <v>0</v>
      </c>
      <c r="D96">
        <v>30</v>
      </c>
      <c r="E96">
        <v>726.2</v>
      </c>
      <c r="F96">
        <v>4578001.3094400009</v>
      </c>
    </row>
    <row r="97" spans="1:6">
      <c r="A97">
        <v>9399238.0869606193</v>
      </c>
      <c r="B97">
        <v>775.09999999999991</v>
      </c>
      <c r="C97">
        <v>0</v>
      </c>
      <c r="D97">
        <v>31</v>
      </c>
      <c r="E97">
        <v>716.5</v>
      </c>
      <c r="F97">
        <v>3605478.5923200008</v>
      </c>
    </row>
    <row r="98" spans="1:6">
      <c r="A98">
        <v>10509903.213503886</v>
      </c>
      <c r="B98">
        <v>792.89999999999986</v>
      </c>
      <c r="C98">
        <v>0</v>
      </c>
      <c r="D98">
        <v>31</v>
      </c>
      <c r="E98">
        <v>703.7</v>
      </c>
      <c r="F98">
        <v>4526352.5299200006</v>
      </c>
    </row>
    <row r="99" spans="1:6">
      <c r="A99">
        <v>9289686.9233804867</v>
      </c>
      <c r="B99">
        <v>619.6</v>
      </c>
      <c r="C99">
        <v>0</v>
      </c>
      <c r="D99">
        <v>28</v>
      </c>
      <c r="E99">
        <v>692.6</v>
      </c>
      <c r="F99">
        <v>4091881.8355200007</v>
      </c>
    </row>
    <row r="100" spans="1:6">
      <c r="A100">
        <v>9725618.5099237543</v>
      </c>
      <c r="B100">
        <v>631.59999999999991</v>
      </c>
      <c r="C100">
        <v>0</v>
      </c>
      <c r="D100">
        <v>31</v>
      </c>
      <c r="E100">
        <v>688.9</v>
      </c>
      <c r="F100">
        <v>4458043.20096</v>
      </c>
    </row>
    <row r="101" spans="1:6">
      <c r="A101">
        <v>9066259.8098003548</v>
      </c>
      <c r="B101">
        <v>515.69999999999993</v>
      </c>
      <c r="C101">
        <v>0</v>
      </c>
      <c r="D101">
        <v>30</v>
      </c>
      <c r="E101">
        <v>695.4</v>
      </c>
      <c r="F101">
        <v>4217020.4649599995</v>
      </c>
    </row>
    <row r="102" spans="1:6">
      <c r="A102">
        <v>8941127.9263436198</v>
      </c>
      <c r="B102">
        <v>120</v>
      </c>
      <c r="C102">
        <v>30.699999999999996</v>
      </c>
      <c r="D102">
        <v>31</v>
      </c>
      <c r="E102">
        <v>704.2</v>
      </c>
      <c r="F102">
        <v>4625443.2067200011</v>
      </c>
    </row>
    <row r="103" spans="1:6">
      <c r="A103">
        <v>8771753.9262202196</v>
      </c>
      <c r="B103">
        <v>46.500000000000007</v>
      </c>
      <c r="C103">
        <v>28.7</v>
      </c>
      <c r="D103">
        <v>30</v>
      </c>
      <c r="E103">
        <v>720.2</v>
      </c>
      <c r="F103">
        <v>4420601.9596800003</v>
      </c>
    </row>
    <row r="104" spans="1:6">
      <c r="A104">
        <v>9078854.0894301534</v>
      </c>
      <c r="B104">
        <v>11</v>
      </c>
      <c r="C104">
        <v>77.300000000000026</v>
      </c>
      <c r="D104">
        <v>31</v>
      </c>
      <c r="E104">
        <v>739.3</v>
      </c>
      <c r="F104">
        <v>4194517.0176000008</v>
      </c>
    </row>
    <row r="105" spans="1:6">
      <c r="A105">
        <v>9606031.552640086</v>
      </c>
      <c r="B105">
        <v>5.7</v>
      </c>
      <c r="C105">
        <v>80.900000000000006</v>
      </c>
      <c r="D105">
        <v>31</v>
      </c>
      <c r="E105">
        <v>747.9</v>
      </c>
      <c r="F105">
        <v>4725688.9939200003</v>
      </c>
    </row>
    <row r="106" spans="1:6">
      <c r="A106">
        <v>8755883.8491833545</v>
      </c>
      <c r="B106">
        <v>87.899999999999991</v>
      </c>
      <c r="C106">
        <v>46.099999999999994</v>
      </c>
      <c r="D106">
        <v>30</v>
      </c>
      <c r="E106">
        <v>745.5</v>
      </c>
      <c r="F106">
        <v>4238331.9321600003</v>
      </c>
    </row>
    <row r="107" spans="1:6">
      <c r="A107">
        <v>9278484.5390599556</v>
      </c>
      <c r="B107">
        <v>338.7</v>
      </c>
      <c r="C107">
        <v>7.9</v>
      </c>
      <c r="D107">
        <v>31</v>
      </c>
      <c r="E107">
        <v>742.1</v>
      </c>
      <c r="F107">
        <v>4538667.4560000002</v>
      </c>
    </row>
    <row r="108" spans="1:6">
      <c r="A108">
        <v>9418149.1856032219</v>
      </c>
      <c r="B108">
        <v>568.90000000000009</v>
      </c>
      <c r="C108">
        <v>0</v>
      </c>
      <c r="D108">
        <v>30</v>
      </c>
      <c r="E108">
        <v>745.7</v>
      </c>
      <c r="F108">
        <v>4247842.6252800003</v>
      </c>
    </row>
    <row r="109" spans="1:6">
      <c r="A109">
        <v>9107379.2088131551</v>
      </c>
      <c r="B109">
        <v>623.70000000000005</v>
      </c>
      <c r="C109">
        <v>0</v>
      </c>
      <c r="D109">
        <v>31</v>
      </c>
      <c r="E109">
        <v>751</v>
      </c>
      <c r="F109">
        <v>3518108.4499200005</v>
      </c>
    </row>
    <row r="110" spans="1:6">
      <c r="A110">
        <v>10393382.61785017</v>
      </c>
      <c r="B110">
        <v>848.80000000000007</v>
      </c>
      <c r="C110">
        <v>0</v>
      </c>
      <c r="D110">
        <v>31</v>
      </c>
      <c r="E110">
        <v>748.7</v>
      </c>
      <c r="F110">
        <v>4403212.0070400005</v>
      </c>
    </row>
    <row r="111" spans="1:6">
      <c r="A111">
        <v>9263162.9002205189</v>
      </c>
      <c r="B111">
        <v>690</v>
      </c>
      <c r="C111">
        <v>0</v>
      </c>
      <c r="D111">
        <v>28</v>
      </c>
      <c r="E111">
        <v>741.3</v>
      </c>
      <c r="F111">
        <v>3946641.8342400002</v>
      </c>
    </row>
    <row r="112" spans="1:6">
      <c r="A112">
        <v>9843246.0125908684</v>
      </c>
      <c r="B112">
        <v>674.125</v>
      </c>
      <c r="C112">
        <v>0</v>
      </c>
      <c r="D112">
        <v>31</v>
      </c>
      <c r="E112">
        <v>733.8</v>
      </c>
      <c r="F112">
        <v>4369392.9532800009</v>
      </c>
    </row>
    <row r="113" spans="1:6">
      <c r="A113">
        <v>8970862.2649612147</v>
      </c>
      <c r="B113">
        <v>412.49999999999994</v>
      </c>
      <c r="C113">
        <v>0</v>
      </c>
      <c r="D113">
        <v>30</v>
      </c>
      <c r="E113">
        <v>734</v>
      </c>
      <c r="F113">
        <v>4248725.9011200005</v>
      </c>
    </row>
    <row r="114" spans="1:6">
      <c r="A114">
        <v>8796309.4073315654</v>
      </c>
      <c r="B114">
        <v>227.05000000000004</v>
      </c>
      <c r="C114">
        <v>1</v>
      </c>
      <c r="D114">
        <v>31</v>
      </c>
      <c r="E114">
        <v>747.1</v>
      </c>
      <c r="F114">
        <v>4400982.5587200001</v>
      </c>
    </row>
    <row r="115" spans="1:6">
      <c r="A115">
        <v>8401389.969701916</v>
      </c>
      <c r="B115">
        <v>70.2</v>
      </c>
      <c r="C115">
        <v>16.399999999999999</v>
      </c>
      <c r="D115">
        <v>30</v>
      </c>
      <c r="E115">
        <v>762.3</v>
      </c>
      <c r="F115">
        <v>4127497.0646400009</v>
      </c>
    </row>
    <row r="116" spans="1:6">
      <c r="A116">
        <v>9284696.3620722648</v>
      </c>
      <c r="B116">
        <v>6.6000000000000005</v>
      </c>
      <c r="C116">
        <v>92.500000000000014</v>
      </c>
      <c r="D116">
        <v>31</v>
      </c>
      <c r="E116">
        <v>764.2</v>
      </c>
      <c r="F116">
        <v>4161543.8371200003</v>
      </c>
    </row>
    <row r="117" spans="1:6">
      <c r="A117">
        <v>9274151.7944426145</v>
      </c>
      <c r="B117">
        <v>25.1</v>
      </c>
      <c r="C117">
        <v>33.300000000000004</v>
      </c>
      <c r="D117">
        <v>31</v>
      </c>
      <c r="E117">
        <v>760.2</v>
      </c>
      <c r="F117">
        <v>4590395.5161600001</v>
      </c>
    </row>
    <row r="118" spans="1:6">
      <c r="A118">
        <v>8673910.6668129638</v>
      </c>
      <c r="B118">
        <v>90.899999999999991</v>
      </c>
      <c r="C118">
        <v>13.200000000000001</v>
      </c>
      <c r="D118">
        <v>30</v>
      </c>
      <c r="E118">
        <v>756.5</v>
      </c>
      <c r="F118">
        <v>4357474.9632000001</v>
      </c>
    </row>
    <row r="119" spans="1:6">
      <c r="A119">
        <v>9055576.7191833146</v>
      </c>
      <c r="B119">
        <v>293.8</v>
      </c>
      <c r="C119">
        <v>2.1</v>
      </c>
      <c r="D119">
        <v>31</v>
      </c>
      <c r="E119">
        <v>760.7</v>
      </c>
      <c r="F119">
        <v>4416877.5811200002</v>
      </c>
    </row>
    <row r="120" spans="1:6">
      <c r="A120">
        <v>9298088.501553664</v>
      </c>
      <c r="B120">
        <v>576.79999999999984</v>
      </c>
      <c r="C120">
        <v>0</v>
      </c>
      <c r="D120">
        <v>30</v>
      </c>
      <c r="E120">
        <v>758.4</v>
      </c>
      <c r="F120">
        <v>4037559.1459200005</v>
      </c>
    </row>
    <row r="121" spans="1:6">
      <c r="A121">
        <v>9200426.3739240132</v>
      </c>
      <c r="B121">
        <v>647.29999999999995</v>
      </c>
      <c r="C121">
        <v>0</v>
      </c>
      <c r="D121">
        <v>31</v>
      </c>
      <c r="E121">
        <v>756.5</v>
      </c>
      <c r="F121">
        <v>3487388.6937600006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59999389629810485"/>
  </sheetPr>
  <dimension ref="A1:I22"/>
  <sheetViews>
    <sheetView workbookViewId="0">
      <selection activeCell="G6" sqref="G6"/>
    </sheetView>
  </sheetViews>
  <sheetFormatPr defaultRowHeight="15.5"/>
  <cols>
    <col min="1" max="1" width="18.75" bestFit="1" customWidth="1"/>
  </cols>
  <sheetData>
    <row r="1" spans="1:9">
      <c r="A1" t="s">
        <v>22</v>
      </c>
    </row>
    <row r="2" spans="1:9" ht="16" thickBot="1"/>
    <row r="3" spans="1:9">
      <c r="A3" s="155" t="s">
        <v>23</v>
      </c>
      <c r="B3" s="155"/>
    </row>
    <row r="4" spans="1:9">
      <c r="A4" s="152" t="s">
        <v>24</v>
      </c>
      <c r="B4" s="152">
        <v>0.97493185491547529</v>
      </c>
    </row>
    <row r="5" spans="1:9">
      <c r="A5" s="152" t="s">
        <v>25</v>
      </c>
      <c r="B5" s="152">
        <v>0.95049212172892938</v>
      </c>
    </row>
    <row r="6" spans="1:9">
      <c r="A6" s="152" t="s">
        <v>26</v>
      </c>
      <c r="B6" s="152">
        <v>0.94832072355914554</v>
      </c>
    </row>
    <row r="7" spans="1:9">
      <c r="A7" s="152" t="s">
        <v>27</v>
      </c>
      <c r="B7" s="152">
        <v>134934.04091766936</v>
      </c>
    </row>
    <row r="8" spans="1:9" ht="16" thickBot="1">
      <c r="A8" s="153" t="s">
        <v>28</v>
      </c>
      <c r="B8" s="153">
        <v>120</v>
      </c>
    </row>
    <row r="10" spans="1:9" ht="16" thickBot="1">
      <c r="A10" t="s">
        <v>29</v>
      </c>
    </row>
    <row r="11" spans="1:9">
      <c r="A11" s="154"/>
      <c r="B11" s="154" t="s">
        <v>34</v>
      </c>
      <c r="C11" s="154" t="s">
        <v>35</v>
      </c>
      <c r="D11" s="154" t="s">
        <v>36</v>
      </c>
      <c r="E11" s="154" t="s">
        <v>37</v>
      </c>
      <c r="F11" s="154" t="s">
        <v>38</v>
      </c>
    </row>
    <row r="12" spans="1:9">
      <c r="A12" s="152" t="s">
        <v>30</v>
      </c>
      <c r="B12" s="152">
        <v>5</v>
      </c>
      <c r="C12" s="152">
        <v>39849429795398.195</v>
      </c>
      <c r="D12" s="152">
        <v>7969885959079.6387</v>
      </c>
      <c r="E12" s="152">
        <v>437.73276359700009</v>
      </c>
      <c r="F12" s="152">
        <v>1.2252967682955477E-72</v>
      </c>
    </row>
    <row r="13" spans="1:9">
      <c r="A13" s="152" t="s">
        <v>31</v>
      </c>
      <c r="B13" s="152">
        <v>114</v>
      </c>
      <c r="C13" s="152">
        <v>2075620275414.3247</v>
      </c>
      <c r="D13" s="152">
        <v>18207195398.371269</v>
      </c>
      <c r="E13" s="152"/>
      <c r="F13" s="152"/>
    </row>
    <row r="14" spans="1:9" ht="16" thickBot="1">
      <c r="A14" s="153" t="s">
        <v>32</v>
      </c>
      <c r="B14" s="153">
        <v>119</v>
      </c>
      <c r="C14" s="153">
        <v>41925050070812.523</v>
      </c>
      <c r="D14" s="153"/>
      <c r="E14" s="153"/>
      <c r="F14" s="153"/>
    </row>
    <row r="15" spans="1:9" ht="16" thickBot="1"/>
    <row r="16" spans="1:9">
      <c r="A16" s="154"/>
      <c r="B16" s="154" t="s">
        <v>39</v>
      </c>
      <c r="C16" s="154" t="s">
        <v>27</v>
      </c>
      <c r="D16" s="154" t="s">
        <v>40</v>
      </c>
      <c r="E16" s="154" t="s">
        <v>41</v>
      </c>
      <c r="F16" s="154" t="s">
        <v>42</v>
      </c>
      <c r="G16" s="154" t="s">
        <v>43</v>
      </c>
      <c r="H16" s="154" t="s">
        <v>44</v>
      </c>
      <c r="I16" s="154" t="s">
        <v>45</v>
      </c>
    </row>
    <row r="17" spans="1:9">
      <c r="A17" s="152" t="s">
        <v>33</v>
      </c>
      <c r="B17" s="152">
        <v>-86404.655621130951</v>
      </c>
      <c r="C17" s="152">
        <v>531037.75461779814</v>
      </c>
      <c r="D17" s="152">
        <v>-0.16270906328179746</v>
      </c>
      <c r="E17" s="152">
        <v>0.87103557907468443</v>
      </c>
      <c r="F17" s="152">
        <v>-1138386.3574533835</v>
      </c>
      <c r="G17" s="152">
        <v>965577.0462111216</v>
      </c>
      <c r="H17" s="152">
        <v>-1138386.3574533835</v>
      </c>
      <c r="I17" s="152">
        <v>965577.0462111216</v>
      </c>
    </row>
    <row r="18" spans="1:9">
      <c r="A18" s="152" t="s">
        <v>15</v>
      </c>
      <c r="B18" s="152">
        <v>2580.265714291163</v>
      </c>
      <c r="C18" s="152">
        <v>65.016582881540089</v>
      </c>
      <c r="D18" s="152">
        <v>39.686270793289694</v>
      </c>
      <c r="E18" s="152">
        <v>1.4325982176707767E-68</v>
      </c>
      <c r="F18" s="152">
        <v>2451.4683643621229</v>
      </c>
      <c r="G18" s="152">
        <v>2709.0630642202032</v>
      </c>
      <c r="H18" s="152">
        <v>2451.4683643621229</v>
      </c>
      <c r="I18" s="152">
        <v>2709.0630642202032</v>
      </c>
    </row>
    <row r="19" spans="1:9">
      <c r="A19" s="152" t="s">
        <v>46</v>
      </c>
      <c r="B19" s="152">
        <v>10190.146186275701</v>
      </c>
      <c r="C19" s="152">
        <v>681.71204393110133</v>
      </c>
      <c r="D19" s="152">
        <v>14.947874659092262</v>
      </c>
      <c r="E19" s="152">
        <v>1.2491436822944483E-28</v>
      </c>
      <c r="F19" s="152">
        <v>8839.6798778108077</v>
      </c>
      <c r="G19" s="152">
        <v>11540.612494740593</v>
      </c>
      <c r="H19" s="152">
        <v>8839.6798778108077</v>
      </c>
      <c r="I19" s="152">
        <v>11540.612494740593</v>
      </c>
    </row>
    <row r="20" spans="1:9">
      <c r="A20" s="152" t="s">
        <v>16</v>
      </c>
      <c r="B20" s="152">
        <v>126876.6727963329</v>
      </c>
      <c r="C20" s="152">
        <v>15537.556502685389</v>
      </c>
      <c r="D20" s="152">
        <v>8.1658060438528111</v>
      </c>
      <c r="E20" s="152">
        <v>4.8134433795623598E-13</v>
      </c>
      <c r="F20" s="152">
        <v>96096.893035148416</v>
      </c>
      <c r="G20" s="152">
        <v>157656.45255751739</v>
      </c>
      <c r="H20" s="152">
        <v>96096.893035148416</v>
      </c>
      <c r="I20" s="152">
        <v>157656.45255751739</v>
      </c>
    </row>
    <row r="21" spans="1:9">
      <c r="A21" s="152" t="s">
        <v>78</v>
      </c>
      <c r="B21" s="152">
        <v>624.64901158829116</v>
      </c>
      <c r="C21" s="152">
        <v>415.61179243606301</v>
      </c>
      <c r="D21" s="152">
        <v>1.5029626756425254</v>
      </c>
      <c r="E21" s="152">
        <v>0.1356138424122805</v>
      </c>
      <c r="F21" s="152">
        <v>-198.67474817549135</v>
      </c>
      <c r="G21" s="152">
        <v>1447.9727713520738</v>
      </c>
      <c r="H21" s="152">
        <v>-198.67474817549135</v>
      </c>
      <c r="I21" s="152">
        <v>1447.9727713520738</v>
      </c>
    </row>
    <row r="22" spans="1:9" ht="16" thickBot="1">
      <c r="A22" s="153" t="s">
        <v>153</v>
      </c>
      <c r="B22" s="153">
        <v>0.91214522687620803</v>
      </c>
      <c r="C22" s="153">
        <v>3.3685110535590812E-2</v>
      </c>
      <c r="D22" s="153">
        <v>27.078587909410572</v>
      </c>
      <c r="E22" s="153">
        <v>1.7793184425340838E-51</v>
      </c>
      <c r="F22" s="153">
        <v>0.84541528234873708</v>
      </c>
      <c r="G22" s="153">
        <v>0.97887517140367897</v>
      </c>
      <c r="H22" s="153">
        <v>0.84541528234873708</v>
      </c>
      <c r="I22" s="153">
        <v>0.97887517140367897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Z163"/>
  <sheetViews>
    <sheetView zoomScaleNormal="100" workbookViewId="0">
      <pane ySplit="1" topLeftCell="A2" activePane="bottomLeft" state="frozen"/>
      <selection activeCell="C123" sqref="C123"/>
      <selection pane="bottomLeft" activeCell="Q19" sqref="Q19"/>
    </sheetView>
  </sheetViews>
  <sheetFormatPr defaultColWidth="8.58203125" defaultRowHeight="15.5"/>
  <cols>
    <col min="1" max="1" width="4.33203125" style="2" bestFit="1" customWidth="1"/>
    <col min="2" max="2" width="11" style="2" bestFit="1" customWidth="1"/>
    <col min="3" max="3" width="12.08203125" style="2" bestFit="1" customWidth="1"/>
    <col min="4" max="4" width="9.33203125" style="2" bestFit="1" customWidth="1"/>
    <col min="5" max="5" width="13.5" style="2" customWidth="1"/>
    <col min="6" max="6" width="3.58203125" style="2" customWidth="1"/>
    <col min="7" max="7" width="6.58203125" style="2" bestFit="1" customWidth="1"/>
    <col min="8" max="8" width="6.33203125" style="2" bestFit="1" customWidth="1"/>
    <col min="9" max="9" width="8.25" style="2" customWidth="1"/>
    <col min="10" max="10" width="10.33203125" style="2" bestFit="1" customWidth="1"/>
    <col min="11" max="11" width="6.58203125" style="2" bestFit="1" customWidth="1"/>
    <col min="12" max="12" width="8.83203125" style="2" bestFit="1" customWidth="1"/>
    <col min="13" max="13" width="2.83203125" style="164" customWidth="1"/>
    <col min="14" max="14" width="3" style="2" customWidth="1"/>
    <col min="15" max="15" width="3.33203125" style="2" customWidth="1"/>
    <col min="16" max="16" width="3.08203125" style="2" customWidth="1"/>
    <col min="17" max="17" width="12.33203125" style="7" bestFit="1" customWidth="1"/>
    <col min="18" max="18" width="10.83203125" style="7" bestFit="1" customWidth="1"/>
    <col min="19" max="20" width="8.58203125" style="2"/>
    <col min="21" max="21" width="4.75" style="4" customWidth="1"/>
    <col min="22" max="22" width="19" style="4" bestFit="1" customWidth="1"/>
    <col min="23" max="23" width="17.08203125" style="4" bestFit="1" customWidth="1"/>
    <col min="24" max="24" width="17.5" style="4" bestFit="1" customWidth="1"/>
    <col min="25" max="25" width="16.33203125" style="4" bestFit="1" customWidth="1"/>
    <col min="26" max="26" width="12.33203125" style="4" bestFit="1" customWidth="1"/>
    <col min="27" max="27" width="14.83203125" style="4" bestFit="1" customWidth="1"/>
    <col min="28" max="28" width="14.33203125" style="4" bestFit="1" customWidth="1"/>
    <col min="29" max="29" width="14.83203125" style="4" bestFit="1" customWidth="1"/>
    <col min="30" max="30" width="14.33203125" style="4" bestFit="1" customWidth="1"/>
    <col min="31" max="31" width="12.33203125" style="4" bestFit="1" customWidth="1"/>
    <col min="32" max="16384" width="8.58203125" style="4"/>
  </cols>
  <sheetData>
    <row r="1" spans="1:130" ht="58">
      <c r="A1" s="6" t="s">
        <v>0</v>
      </c>
      <c r="B1" s="6" t="s">
        <v>1</v>
      </c>
      <c r="C1" s="37" t="s">
        <v>85</v>
      </c>
      <c r="D1" s="162" t="s">
        <v>137</v>
      </c>
      <c r="E1" s="151" t="s">
        <v>150</v>
      </c>
      <c r="F1" s="37"/>
      <c r="G1" s="6" t="s">
        <v>15</v>
      </c>
      <c r="H1" s="6" t="s">
        <v>46</v>
      </c>
      <c r="I1" s="126" t="s">
        <v>16</v>
      </c>
      <c r="J1" s="126" t="s">
        <v>78</v>
      </c>
      <c r="K1" s="126" t="s">
        <v>108</v>
      </c>
      <c r="L1" s="126" t="s">
        <v>153</v>
      </c>
      <c r="M1" s="159"/>
      <c r="N1" s="129"/>
      <c r="O1" s="127"/>
      <c r="Q1" s="10" t="s">
        <v>18</v>
      </c>
      <c r="R1" s="10" t="s">
        <v>19</v>
      </c>
      <c r="S1" s="6" t="s">
        <v>20</v>
      </c>
      <c r="T1" s="6" t="s">
        <v>21</v>
      </c>
      <c r="V1" s="132" t="s">
        <v>22</v>
      </c>
      <c r="W1"/>
      <c r="X1"/>
      <c r="Y1"/>
      <c r="Z1"/>
      <c r="AA1"/>
      <c r="AB1"/>
      <c r="AC1"/>
      <c r="AD1"/>
    </row>
    <row r="2" spans="1:130" ht="16" thickBot="1">
      <c r="A2" s="134">
        <v>2010</v>
      </c>
      <c r="B2" s="134" t="s">
        <v>2</v>
      </c>
      <c r="C2" s="7">
        <v>9555492.307692308</v>
      </c>
      <c r="D2" s="7">
        <v>0</v>
      </c>
      <c r="E2" s="7">
        <v>9555492.307692308</v>
      </c>
      <c r="F2" s="7"/>
      <c r="G2" s="15">
        <v>791.5</v>
      </c>
      <c r="H2" s="15">
        <v>0</v>
      </c>
      <c r="I2" s="2">
        <v>31</v>
      </c>
      <c r="J2" s="7">
        <v>633.6</v>
      </c>
      <c r="K2" s="7">
        <v>132355.9047358782</v>
      </c>
      <c r="L2" s="7">
        <v>3487295.6334580001</v>
      </c>
      <c r="M2" s="7"/>
      <c r="N2" s="135"/>
      <c r="O2" s="7"/>
      <c r="P2" s="163"/>
      <c r="Q2" s="7">
        <f>$W$17+$W$18*G2+$W$19*H2+$W$20*I2+$W$21*J2+$W$22*K2+$W$23*L2</f>
        <v>9317371.4356259666</v>
      </c>
      <c r="R2" s="7">
        <f>Q2-E2</f>
        <v>-238120.87206634134</v>
      </c>
      <c r="S2" s="139">
        <f>R2/E2</f>
        <v>-2.491979108963864E-2</v>
      </c>
      <c r="T2" s="139">
        <f>ABS(S2)</f>
        <v>2.491979108963864E-2</v>
      </c>
      <c r="U2" s="136"/>
      <c r="V2"/>
      <c r="W2"/>
      <c r="X2"/>
      <c r="Y2"/>
      <c r="Z2"/>
      <c r="AA2"/>
      <c r="AB2"/>
      <c r="AC2"/>
      <c r="AD2"/>
      <c r="BH2" s="136"/>
      <c r="BI2" s="136"/>
      <c r="BJ2" s="136"/>
      <c r="BK2" s="136"/>
      <c r="BL2" s="136"/>
      <c r="BM2" s="136"/>
      <c r="BN2" s="136"/>
      <c r="BO2" s="136"/>
      <c r="BP2" s="136"/>
      <c r="BQ2" s="136"/>
      <c r="BR2" s="136"/>
      <c r="BS2" s="136"/>
      <c r="BT2" s="136"/>
      <c r="BU2" s="136"/>
      <c r="BV2" s="136"/>
      <c r="BW2" s="136"/>
      <c r="BX2" s="136"/>
      <c r="BY2" s="136"/>
      <c r="BZ2" s="136"/>
      <c r="CA2" s="136"/>
      <c r="CB2" s="136"/>
      <c r="CC2" s="136"/>
      <c r="CD2" s="136"/>
      <c r="CE2" s="136"/>
      <c r="CF2" s="136"/>
      <c r="CG2" s="136"/>
      <c r="CH2" s="136"/>
      <c r="CI2" s="136"/>
      <c r="CJ2" s="136"/>
      <c r="CK2" s="136"/>
      <c r="CL2" s="136"/>
      <c r="CM2" s="136"/>
      <c r="CN2" s="136"/>
      <c r="CO2" s="136"/>
      <c r="CP2" s="136"/>
      <c r="CQ2" s="136"/>
      <c r="CR2" s="136"/>
      <c r="CS2" s="136"/>
      <c r="CT2" s="136"/>
      <c r="CU2" s="136"/>
      <c r="CV2" s="136"/>
      <c r="CW2" s="136"/>
      <c r="CX2" s="136"/>
      <c r="CY2" s="136"/>
      <c r="CZ2" s="136"/>
      <c r="DA2" s="136"/>
      <c r="DB2" s="136"/>
      <c r="DC2" s="136"/>
      <c r="DD2" s="136"/>
      <c r="DE2" s="136"/>
      <c r="DF2" s="136"/>
      <c r="DG2" s="136"/>
      <c r="DH2" s="136"/>
      <c r="DI2" s="136"/>
      <c r="DJ2" s="136"/>
      <c r="DK2" s="136"/>
      <c r="DL2" s="136"/>
      <c r="DM2" s="136"/>
      <c r="DN2" s="136"/>
      <c r="DO2" s="136"/>
      <c r="DP2" s="136"/>
      <c r="DQ2" s="136"/>
      <c r="DR2" s="136"/>
      <c r="DS2" s="136"/>
      <c r="DT2" s="136"/>
      <c r="DU2" s="136"/>
      <c r="DV2" s="136"/>
      <c r="DW2" s="136"/>
      <c r="DX2" s="136"/>
      <c r="DY2" s="136"/>
      <c r="DZ2" s="136"/>
    </row>
    <row r="3" spans="1:130">
      <c r="A3" s="2">
        <v>2010</v>
      </c>
      <c r="B3" s="2" t="s">
        <v>3</v>
      </c>
      <c r="C3" s="7">
        <v>8513184.615384616</v>
      </c>
      <c r="D3" s="7">
        <v>0</v>
      </c>
      <c r="E3" s="7">
        <v>8513184.615384616</v>
      </c>
      <c r="F3" s="7"/>
      <c r="G3" s="15">
        <v>680.1</v>
      </c>
      <c r="H3" s="15">
        <v>0</v>
      </c>
      <c r="I3" s="2">
        <v>28</v>
      </c>
      <c r="J3" s="7">
        <v>630.5</v>
      </c>
      <c r="K3" s="7">
        <v>131088.42630007651</v>
      </c>
      <c r="L3" s="7">
        <v>3203840.5107670003</v>
      </c>
      <c r="M3" s="7"/>
      <c r="N3" s="135"/>
      <c r="O3" s="7"/>
      <c r="Q3" s="7">
        <f>$W$17+$W$18*G3+$W$19*H3+$W$20*I3+$W$21*J3+$W$22*K3+($W$23*L3)</f>
        <v>8392162.024686804</v>
      </c>
      <c r="R3" s="7">
        <f t="shared" ref="R3:R66" si="0">Q3-E3</f>
        <v>-121022.59069781192</v>
      </c>
      <c r="S3" s="139">
        <f t="shared" ref="S3:S66" si="1">R3/E3</f>
        <v>-1.421590111873126E-2</v>
      </c>
      <c r="T3" s="139">
        <f t="shared" ref="T3:T66" si="2">ABS(S3)</f>
        <v>1.421590111873126E-2</v>
      </c>
      <c r="V3" s="155" t="s">
        <v>23</v>
      </c>
      <c r="W3" s="155"/>
      <c r="X3"/>
      <c r="Y3"/>
      <c r="Z3"/>
      <c r="AA3"/>
      <c r="AB3"/>
      <c r="AC3"/>
      <c r="AD3"/>
    </row>
    <row r="4" spans="1:130">
      <c r="A4" s="2">
        <v>2010</v>
      </c>
      <c r="B4" s="2" t="s">
        <v>4</v>
      </c>
      <c r="C4" s="7">
        <v>8793400</v>
      </c>
      <c r="D4" s="7">
        <v>0</v>
      </c>
      <c r="E4" s="7">
        <v>8793400</v>
      </c>
      <c r="F4" s="7"/>
      <c r="G4" s="15">
        <v>504.69999999999987</v>
      </c>
      <c r="H4" s="15">
        <v>0</v>
      </c>
      <c r="I4" s="2">
        <v>31</v>
      </c>
      <c r="J4" s="7">
        <v>627.5</v>
      </c>
      <c r="K4" s="7">
        <v>129820.94786427479</v>
      </c>
      <c r="L4" s="7">
        <v>3646819.0608330001</v>
      </c>
      <c r="M4" s="7"/>
      <c r="N4" s="135"/>
      <c r="O4" s="7"/>
      <c r="Q4" s="7">
        <f t="shared" ref="Q4:Q66" si="3">$W$17+$W$18*G4+$W$19*H4+$W$20*I4+$W$21*J4+$W$22*K4+$W$23*L4</f>
        <v>8709657.9529651701</v>
      </c>
      <c r="R4" s="7">
        <f t="shared" si="0"/>
        <v>-83742.047034829855</v>
      </c>
      <c r="S4" s="139">
        <f t="shared" si="1"/>
        <v>-9.5232841716321164E-3</v>
      </c>
      <c r="T4" s="139">
        <f t="shared" si="2"/>
        <v>9.5232841716321164E-3</v>
      </c>
      <c r="V4" s="152" t="s">
        <v>24</v>
      </c>
      <c r="W4" s="255">
        <v>0.97511880283995755</v>
      </c>
      <c r="X4" s="251"/>
      <c r="Y4" s="251"/>
      <c r="Z4" s="251"/>
      <c r="AA4" s="251"/>
      <c r="AB4" s="251"/>
      <c r="AC4" s="251"/>
      <c r="AD4" s="251"/>
    </row>
    <row r="5" spans="1:130">
      <c r="A5" s="2">
        <v>2010</v>
      </c>
      <c r="B5" s="2" t="s">
        <v>5</v>
      </c>
      <c r="C5" s="7">
        <v>7779600</v>
      </c>
      <c r="D5" s="7">
        <v>0</v>
      </c>
      <c r="E5" s="7">
        <v>7779600</v>
      </c>
      <c r="F5" s="7"/>
      <c r="G5" s="15">
        <v>273.20000000000005</v>
      </c>
      <c r="H5" s="15">
        <v>1</v>
      </c>
      <c r="I5" s="2">
        <v>30</v>
      </c>
      <c r="J5" s="7">
        <v>631.6</v>
      </c>
      <c r="K5" s="7">
        <v>128553.46942847309</v>
      </c>
      <c r="L5" s="7">
        <v>3531302.5569770001</v>
      </c>
      <c r="M5" s="7"/>
      <c r="N5" s="135"/>
      <c r="O5" s="7"/>
      <c r="Q5" s="7">
        <f t="shared" si="3"/>
        <v>7897692.4945303556</v>
      </c>
      <c r="R5" s="7">
        <f t="shared" si="0"/>
        <v>118092.49453035556</v>
      </c>
      <c r="S5" s="139">
        <f t="shared" si="1"/>
        <v>1.5179764323404231E-2</v>
      </c>
      <c r="T5" s="139">
        <f t="shared" si="2"/>
        <v>1.5179764323404231E-2</v>
      </c>
      <c r="V5" s="152" t="s">
        <v>25</v>
      </c>
      <c r="W5" s="255">
        <v>0.95085667965203202</v>
      </c>
      <c r="X5" s="251"/>
      <c r="Y5" s="251"/>
      <c r="Z5" s="251"/>
      <c r="AA5" s="251"/>
      <c r="AB5" s="251"/>
      <c r="AC5" s="251"/>
      <c r="AD5" s="251"/>
    </row>
    <row r="6" spans="1:130">
      <c r="A6" s="2">
        <v>2010</v>
      </c>
      <c r="B6" s="2" t="s">
        <v>6</v>
      </c>
      <c r="C6" s="7">
        <v>8100938.461538461</v>
      </c>
      <c r="D6" s="7">
        <v>0</v>
      </c>
      <c r="E6" s="7">
        <v>8100938.461538461</v>
      </c>
      <c r="F6" s="7"/>
      <c r="G6" s="15">
        <v>148.19999999999996</v>
      </c>
      <c r="H6" s="15">
        <v>24</v>
      </c>
      <c r="I6" s="2">
        <v>31</v>
      </c>
      <c r="J6" s="7">
        <v>641.5</v>
      </c>
      <c r="K6" s="7">
        <v>127285.99099267139</v>
      </c>
      <c r="L6" s="7">
        <v>3786484.3631810001</v>
      </c>
      <c r="M6" s="7"/>
      <c r="N6" s="135"/>
      <c r="O6" s="7"/>
      <c r="Q6" s="7">
        <f t="shared" si="3"/>
        <v>8181226.7881413568</v>
      </c>
      <c r="R6" s="7">
        <f t="shared" si="0"/>
        <v>80288.326602895744</v>
      </c>
      <c r="S6" s="139">
        <f t="shared" si="1"/>
        <v>9.9109908048416497E-3</v>
      </c>
      <c r="T6" s="139">
        <f t="shared" si="2"/>
        <v>9.9109908048416497E-3</v>
      </c>
      <c r="V6" s="152" t="s">
        <v>26</v>
      </c>
      <c r="W6" s="255">
        <v>0.94824729981054701</v>
      </c>
      <c r="X6" s="251"/>
      <c r="Y6" s="251"/>
      <c r="Z6" s="251"/>
      <c r="AA6" s="251"/>
      <c r="AB6" s="251"/>
      <c r="AC6" s="251"/>
      <c r="AD6" s="251"/>
    </row>
    <row r="7" spans="1:130">
      <c r="A7" s="2">
        <v>2010</v>
      </c>
      <c r="B7" s="2" t="s">
        <v>7</v>
      </c>
      <c r="C7" s="7">
        <v>7984484.615384616</v>
      </c>
      <c r="D7" s="7">
        <v>0</v>
      </c>
      <c r="E7" s="7">
        <v>7984484.615384616</v>
      </c>
      <c r="F7" s="7"/>
      <c r="G7" s="15">
        <v>55.233333333333327</v>
      </c>
      <c r="H7" s="15">
        <v>18.7</v>
      </c>
      <c r="I7" s="2">
        <v>30</v>
      </c>
      <c r="J7" s="7">
        <v>657.2</v>
      </c>
      <c r="K7" s="7">
        <v>126018.51255686968</v>
      </c>
      <c r="L7" s="7">
        <v>3861171.0436650002</v>
      </c>
      <c r="M7" s="7"/>
      <c r="N7" s="135"/>
      <c r="O7" s="7"/>
      <c r="Q7" s="7">
        <f t="shared" si="3"/>
        <v>7858646.8746722108</v>
      </c>
      <c r="R7" s="7">
        <f t="shared" si="0"/>
        <v>-125837.74071240518</v>
      </c>
      <c r="S7" s="139">
        <f t="shared" si="1"/>
        <v>-1.5760283446465569E-2</v>
      </c>
      <c r="T7" s="139">
        <f t="shared" si="2"/>
        <v>1.5760283446465569E-2</v>
      </c>
      <c r="V7" s="152" t="s">
        <v>27</v>
      </c>
      <c r="W7" s="252">
        <v>133925.4004692075</v>
      </c>
      <c r="X7" s="251"/>
      <c r="Y7" s="251"/>
      <c r="Z7" s="251"/>
      <c r="AA7" s="251"/>
      <c r="AB7" s="251"/>
      <c r="AC7" s="251"/>
      <c r="AD7" s="251"/>
    </row>
    <row r="8" spans="1:130" ht="16" thickBot="1">
      <c r="A8" s="2">
        <v>2010</v>
      </c>
      <c r="B8" s="2" t="s">
        <v>8</v>
      </c>
      <c r="C8" s="7">
        <v>8350992.3076923089</v>
      </c>
      <c r="D8" s="7">
        <v>0</v>
      </c>
      <c r="E8" s="7">
        <v>8350992.3076923089</v>
      </c>
      <c r="F8" s="7"/>
      <c r="G8" s="15">
        <v>12.7</v>
      </c>
      <c r="H8" s="15">
        <v>89.7</v>
      </c>
      <c r="I8" s="2">
        <v>31</v>
      </c>
      <c r="J8" s="7">
        <v>669.8</v>
      </c>
      <c r="K8" s="7">
        <v>124751.03412106798</v>
      </c>
      <c r="L8" s="7">
        <v>3721817.7134580002</v>
      </c>
      <c r="M8" s="7"/>
      <c r="N8" s="135"/>
      <c r="O8" s="7"/>
      <c r="Q8" s="7">
        <f t="shared" si="3"/>
        <v>8488419.0771443993</v>
      </c>
      <c r="R8" s="7">
        <f t="shared" si="0"/>
        <v>137426.76945209038</v>
      </c>
      <c r="S8" s="139">
        <f t="shared" si="1"/>
        <v>1.645634008374108E-2</v>
      </c>
      <c r="T8" s="139">
        <f t="shared" si="2"/>
        <v>1.645634008374108E-2</v>
      </c>
      <c r="V8" s="153" t="s">
        <v>28</v>
      </c>
      <c r="W8" s="253">
        <v>120</v>
      </c>
      <c r="X8" s="251"/>
      <c r="Y8" s="251"/>
      <c r="Z8" s="251"/>
      <c r="AA8" s="251"/>
      <c r="AB8" s="251"/>
      <c r="AC8" s="251"/>
      <c r="AD8" s="251"/>
    </row>
    <row r="9" spans="1:130">
      <c r="A9" s="2">
        <v>2010</v>
      </c>
      <c r="B9" s="2" t="s">
        <v>9</v>
      </c>
      <c r="C9" s="7">
        <v>8692192.307692308</v>
      </c>
      <c r="D9" s="7">
        <v>0</v>
      </c>
      <c r="E9" s="7">
        <v>8692192.307692308</v>
      </c>
      <c r="F9" s="7"/>
      <c r="G9" s="15">
        <v>19.299999999999997</v>
      </c>
      <c r="H9" s="15">
        <v>82.000000000000014</v>
      </c>
      <c r="I9" s="2">
        <v>31</v>
      </c>
      <c r="J9" s="7">
        <v>672</v>
      </c>
      <c r="K9" s="7">
        <v>123483.55568526627</v>
      </c>
      <c r="L9" s="7">
        <v>4170740.4139440004</v>
      </c>
      <c r="M9" s="7"/>
      <c r="N9" s="135"/>
      <c r="O9" s="7"/>
      <c r="Q9" s="7">
        <f t="shared" si="3"/>
        <v>8840592.1051303893</v>
      </c>
      <c r="R9" s="7">
        <f t="shared" si="0"/>
        <v>148399.79743808135</v>
      </c>
      <c r="S9" s="139">
        <f t="shared" si="1"/>
        <v>1.707276969778411E-2</v>
      </c>
      <c r="T9" s="139">
        <f t="shared" si="2"/>
        <v>1.707276969778411E-2</v>
      </c>
      <c r="V9"/>
      <c r="W9" s="251"/>
      <c r="X9" s="251"/>
      <c r="Y9" s="251"/>
      <c r="Z9" s="251"/>
      <c r="AA9" s="251"/>
      <c r="AB9" s="251"/>
      <c r="AC9" s="251"/>
      <c r="AD9" s="251"/>
    </row>
    <row r="10" spans="1:130" ht="16" thickBot="1">
      <c r="A10" s="2">
        <v>2010</v>
      </c>
      <c r="B10" s="2" t="s">
        <v>10</v>
      </c>
      <c r="C10" s="7">
        <v>8099892.3076923089</v>
      </c>
      <c r="D10" s="7">
        <v>0</v>
      </c>
      <c r="E10" s="7">
        <v>8099892.3076923089</v>
      </c>
      <c r="F10" s="7"/>
      <c r="G10" s="15">
        <v>137</v>
      </c>
      <c r="H10" s="15">
        <v>15.5</v>
      </c>
      <c r="I10" s="2">
        <v>30</v>
      </c>
      <c r="J10" s="7">
        <v>665.1</v>
      </c>
      <c r="K10" s="7">
        <v>122216.07724946456</v>
      </c>
      <c r="L10" s="7">
        <v>3919808.5180150005</v>
      </c>
      <c r="M10" s="7"/>
      <c r="N10" s="135"/>
      <c r="O10" s="7"/>
      <c r="Q10" s="7">
        <f t="shared" si="3"/>
        <v>8111169.7981781717</v>
      </c>
      <c r="R10" s="7">
        <f t="shared" si="0"/>
        <v>11277.490485862829</v>
      </c>
      <c r="S10" s="139">
        <f t="shared" si="1"/>
        <v>1.3923012871606721E-3</v>
      </c>
      <c r="T10" s="139">
        <f t="shared" si="2"/>
        <v>1.3923012871606721E-3</v>
      </c>
      <c r="V10" t="s">
        <v>29</v>
      </c>
      <c r="W10" s="251"/>
      <c r="X10" s="251"/>
      <c r="Y10" s="251"/>
      <c r="Z10" s="251"/>
      <c r="AA10" s="251"/>
      <c r="AB10" s="251"/>
      <c r="AC10" s="251"/>
      <c r="AD10" s="251"/>
    </row>
    <row r="11" spans="1:130">
      <c r="A11" s="2">
        <v>2010</v>
      </c>
      <c r="B11" s="2" t="s">
        <v>11</v>
      </c>
      <c r="C11" s="7">
        <v>8501569.2307692319</v>
      </c>
      <c r="D11" s="7">
        <v>0</v>
      </c>
      <c r="E11" s="7">
        <v>8501569.2307692319</v>
      </c>
      <c r="F11" s="7"/>
      <c r="G11" s="15">
        <v>300.99999999999994</v>
      </c>
      <c r="H11" s="15">
        <v>0</v>
      </c>
      <c r="I11" s="2">
        <v>31</v>
      </c>
      <c r="J11" s="7">
        <v>657.2</v>
      </c>
      <c r="K11" s="7">
        <v>120948.59881366287</v>
      </c>
      <c r="L11" s="7">
        <v>3943157.2559859999</v>
      </c>
      <c r="M11" s="7"/>
      <c r="N11" s="135"/>
      <c r="O11" s="7"/>
      <c r="P11" s="163"/>
      <c r="Q11" s="7">
        <f t="shared" si="3"/>
        <v>8514358.7125672475</v>
      </c>
      <c r="R11" s="7">
        <f t="shared" si="0"/>
        <v>12789.481798015535</v>
      </c>
      <c r="S11" s="139">
        <f t="shared" si="1"/>
        <v>1.5043671880865608E-3</v>
      </c>
      <c r="T11" s="139">
        <f t="shared" si="2"/>
        <v>1.5043671880865608E-3</v>
      </c>
      <c r="U11" s="136"/>
      <c r="V11" s="154"/>
      <c r="W11" s="254" t="s">
        <v>34</v>
      </c>
      <c r="X11" s="254" t="s">
        <v>35</v>
      </c>
      <c r="Y11" s="254" t="s">
        <v>36</v>
      </c>
      <c r="Z11" s="254" t="s">
        <v>37</v>
      </c>
      <c r="AA11" s="254" t="s">
        <v>38</v>
      </c>
      <c r="AB11" s="251"/>
      <c r="AC11" s="251"/>
      <c r="AD11" s="251"/>
    </row>
    <row r="12" spans="1:130">
      <c r="A12" s="2">
        <v>2010</v>
      </c>
      <c r="B12" s="2" t="s">
        <v>12</v>
      </c>
      <c r="C12" s="7">
        <v>8832892.307692308</v>
      </c>
      <c r="D12" s="7">
        <v>0</v>
      </c>
      <c r="E12" s="7">
        <v>8832892.307692308</v>
      </c>
      <c r="F12" s="7"/>
      <c r="G12" s="15">
        <v>439.26666666666659</v>
      </c>
      <c r="H12" s="15">
        <v>0</v>
      </c>
      <c r="I12" s="2">
        <v>30</v>
      </c>
      <c r="J12" s="7">
        <v>622.20000000000005</v>
      </c>
      <c r="K12" s="7">
        <v>119681.12037786117</v>
      </c>
      <c r="L12" s="7">
        <v>3894738.300245</v>
      </c>
      <c r="M12" s="7"/>
      <c r="N12" s="135"/>
      <c r="O12" s="7"/>
      <c r="P12" s="163"/>
      <c r="Q12" s="7">
        <f t="shared" si="3"/>
        <v>8643993.1617402509</v>
      </c>
      <c r="R12" s="7">
        <f t="shared" si="0"/>
        <v>-188899.14595205709</v>
      </c>
      <c r="S12" s="139">
        <f t="shared" si="1"/>
        <v>-2.1385876717590041E-2</v>
      </c>
      <c r="T12" s="139">
        <f t="shared" si="2"/>
        <v>2.1385876717590041E-2</v>
      </c>
      <c r="U12" s="136"/>
      <c r="V12" s="152" t="s">
        <v>30</v>
      </c>
      <c r="W12" s="252">
        <v>6</v>
      </c>
      <c r="X12" s="261">
        <v>39215243543550.844</v>
      </c>
      <c r="Y12" s="261">
        <v>6535873923925.1406</v>
      </c>
      <c r="Z12" s="261">
        <v>364.39948854318197</v>
      </c>
      <c r="AA12" s="261">
        <v>1.7805270447552412E-71</v>
      </c>
      <c r="AB12" s="251"/>
      <c r="AC12" s="251"/>
      <c r="AD12" s="251"/>
    </row>
    <row r="13" spans="1:130">
      <c r="A13" s="2">
        <v>2010</v>
      </c>
      <c r="B13" s="2" t="s">
        <v>13</v>
      </c>
      <c r="C13" s="7">
        <v>9403583.4523076937</v>
      </c>
      <c r="D13" s="7">
        <v>24.24</v>
      </c>
      <c r="E13" s="7">
        <v>9403607.6923076939</v>
      </c>
      <c r="F13" s="7"/>
      <c r="G13" s="15">
        <v>744.29999999999984</v>
      </c>
      <c r="H13" s="15">
        <v>0</v>
      </c>
      <c r="I13" s="2">
        <v>31</v>
      </c>
      <c r="J13" s="7">
        <v>653.29999999999995</v>
      </c>
      <c r="K13" s="7">
        <v>118413.64194205946</v>
      </c>
      <c r="L13" s="7">
        <v>3453655.6664740001</v>
      </c>
      <c r="M13" s="7"/>
      <c r="N13" s="135"/>
      <c r="O13" s="7"/>
      <c r="P13" s="163"/>
      <c r="Q13" s="7">
        <f t="shared" si="3"/>
        <v>9218410.6747132428</v>
      </c>
      <c r="R13" s="7">
        <f t="shared" si="0"/>
        <v>-185197.01759445108</v>
      </c>
      <c r="S13" s="139">
        <f t="shared" si="1"/>
        <v>-1.9694251786571797E-2</v>
      </c>
      <c r="T13" s="139">
        <f t="shared" si="2"/>
        <v>1.9694251786571797E-2</v>
      </c>
      <c r="U13" s="136"/>
      <c r="V13" s="152" t="s">
        <v>31</v>
      </c>
      <c r="W13" s="252">
        <v>113</v>
      </c>
      <c r="X13" s="261">
        <v>2026769456664.6487</v>
      </c>
      <c r="Y13" s="261">
        <v>17936012890.837601</v>
      </c>
      <c r="Z13" s="261"/>
      <c r="AA13" s="261"/>
      <c r="AB13" s="251"/>
      <c r="AC13" s="251"/>
      <c r="AD13" s="251"/>
    </row>
    <row r="14" spans="1:130" ht="16" thickBot="1">
      <c r="A14" s="134">
        <v>2011</v>
      </c>
      <c r="B14" s="134" t="s">
        <v>2</v>
      </c>
      <c r="C14" s="7">
        <v>9903427.0876923073</v>
      </c>
      <c r="D14" s="7">
        <v>65.22</v>
      </c>
      <c r="E14" s="7">
        <v>9903492.307692308</v>
      </c>
      <c r="F14" s="7"/>
      <c r="G14" s="15">
        <v>866.5</v>
      </c>
      <c r="H14" s="15">
        <v>0</v>
      </c>
      <c r="I14" s="2">
        <v>31</v>
      </c>
      <c r="J14" s="7">
        <v>649.29999999999995</v>
      </c>
      <c r="K14" s="7">
        <v>120821.85146347174</v>
      </c>
      <c r="L14" s="7">
        <v>3844682.6114840005</v>
      </c>
      <c r="M14" s="7"/>
      <c r="N14" s="135"/>
      <c r="O14" s="7"/>
      <c r="P14" s="163"/>
      <c r="Q14" s="7">
        <f t="shared" si="3"/>
        <v>9880097.5964154266</v>
      </c>
      <c r="R14" s="7">
        <f t="shared" si="0"/>
        <v>-23394.711276881397</v>
      </c>
      <c r="S14" s="139">
        <f t="shared" si="1"/>
        <v>-2.3622688391154801E-3</v>
      </c>
      <c r="T14" s="139">
        <f t="shared" si="2"/>
        <v>2.3622688391154801E-3</v>
      </c>
      <c r="U14" s="136"/>
      <c r="V14" s="153" t="s">
        <v>32</v>
      </c>
      <c r="W14" s="253">
        <v>119</v>
      </c>
      <c r="X14" s="262">
        <v>41242013000215.492</v>
      </c>
      <c r="Y14" s="262"/>
      <c r="Z14" s="262"/>
      <c r="AA14" s="262"/>
      <c r="AB14" s="251"/>
      <c r="AC14" s="251"/>
      <c r="AD14" s="251"/>
    </row>
    <row r="15" spans="1:130" ht="16" thickBot="1">
      <c r="A15" s="2">
        <v>2011</v>
      </c>
      <c r="B15" s="2" t="s">
        <v>3</v>
      </c>
      <c r="C15" s="7">
        <v>9128544.0323076937</v>
      </c>
      <c r="D15" s="7">
        <v>1663.6599999999999</v>
      </c>
      <c r="E15" s="7">
        <v>9130207.6923076939</v>
      </c>
      <c r="F15" s="7"/>
      <c r="G15" s="15">
        <v>720.4000000000002</v>
      </c>
      <c r="H15" s="15">
        <v>0</v>
      </c>
      <c r="I15" s="2">
        <v>29</v>
      </c>
      <c r="J15" s="7">
        <v>651.20000000000005</v>
      </c>
      <c r="K15" s="7">
        <v>123230.06098488402</v>
      </c>
      <c r="L15" s="7">
        <v>3768297.0046930001</v>
      </c>
      <c r="M15" s="7"/>
      <c r="N15" s="135"/>
      <c r="O15" s="7"/>
      <c r="P15" s="163"/>
      <c r="Q15" s="7">
        <f t="shared" si="3"/>
        <v>9181434.4180468395</v>
      </c>
      <c r="R15" s="7">
        <f t="shared" si="0"/>
        <v>51226.725739145651</v>
      </c>
      <c r="S15" s="139">
        <f t="shared" si="1"/>
        <v>5.6106857002064438E-3</v>
      </c>
      <c r="T15" s="139">
        <f t="shared" si="2"/>
        <v>5.6106857002064438E-3</v>
      </c>
      <c r="U15" s="136"/>
      <c r="V15"/>
      <c r="W15" s="251"/>
      <c r="X15" s="251"/>
      <c r="Y15" s="251"/>
      <c r="Z15" s="251"/>
      <c r="AA15" s="251"/>
      <c r="AB15" s="251"/>
      <c r="AC15" s="251"/>
      <c r="AD15" s="251"/>
    </row>
    <row r="16" spans="1:130">
      <c r="A16" s="2">
        <v>2011</v>
      </c>
      <c r="B16" s="2" t="s">
        <v>4</v>
      </c>
      <c r="C16" s="7">
        <v>9819841.7661538478</v>
      </c>
      <c r="D16" s="7">
        <v>5312.08</v>
      </c>
      <c r="E16" s="7">
        <v>9825153.8461538479</v>
      </c>
      <c r="F16" s="7"/>
      <c r="G16" s="15">
        <v>660.1</v>
      </c>
      <c r="H16" s="15">
        <v>0</v>
      </c>
      <c r="I16" s="2">
        <v>31</v>
      </c>
      <c r="J16" s="7">
        <v>657.1</v>
      </c>
      <c r="K16" s="7">
        <v>125638.27050629631</v>
      </c>
      <c r="L16" s="7">
        <v>4320214.4097060002</v>
      </c>
      <c r="M16" s="7"/>
      <c r="N16" s="135"/>
      <c r="O16" s="7"/>
      <c r="P16" s="163"/>
      <c r="Q16" s="7">
        <f t="shared" si="3"/>
        <v>9782585.588385107</v>
      </c>
      <c r="R16" s="7">
        <f t="shared" si="0"/>
        <v>-42568.257768740878</v>
      </c>
      <c r="S16" s="139">
        <f t="shared" si="1"/>
        <v>-4.3325792588382352E-3</v>
      </c>
      <c r="T16" s="139">
        <f t="shared" si="2"/>
        <v>4.3325792588382352E-3</v>
      </c>
      <c r="U16" s="136"/>
      <c r="V16" s="154"/>
      <c r="W16" s="254" t="s">
        <v>39</v>
      </c>
      <c r="X16" s="254" t="s">
        <v>27</v>
      </c>
      <c r="Y16" s="254" t="s">
        <v>40</v>
      </c>
      <c r="Z16" s="254" t="s">
        <v>41</v>
      </c>
      <c r="AA16" s="254" t="s">
        <v>42</v>
      </c>
      <c r="AB16" s="254" t="s">
        <v>43</v>
      </c>
      <c r="AC16" s="254" t="s">
        <v>44</v>
      </c>
      <c r="AD16" s="254" t="s">
        <v>45</v>
      </c>
    </row>
    <row r="17" spans="1:40">
      <c r="A17" s="2">
        <v>2011</v>
      </c>
      <c r="B17" s="2" t="s">
        <v>5</v>
      </c>
      <c r="C17" s="7">
        <v>7993570.4807692319</v>
      </c>
      <c r="D17" s="7">
        <v>7098.75</v>
      </c>
      <c r="E17" s="7">
        <v>8000669.2307692319</v>
      </c>
      <c r="F17" s="7"/>
      <c r="G17" s="15">
        <v>379.3</v>
      </c>
      <c r="H17" s="15">
        <v>0</v>
      </c>
      <c r="I17" s="2">
        <v>30</v>
      </c>
      <c r="J17" s="7">
        <v>666.4</v>
      </c>
      <c r="K17" s="7">
        <v>128046.48002770859</v>
      </c>
      <c r="L17" s="7">
        <v>3411269.8554350003</v>
      </c>
      <c r="M17" s="7"/>
      <c r="N17" s="135"/>
      <c r="O17" s="7"/>
      <c r="P17" s="163"/>
      <c r="Q17" s="7">
        <f t="shared" si="3"/>
        <v>8117026.2524966244</v>
      </c>
      <c r="R17" s="7">
        <f t="shared" si="0"/>
        <v>116357.02172739245</v>
      </c>
      <c r="S17" s="139">
        <f t="shared" si="1"/>
        <v>1.4543411103649038E-2</v>
      </c>
      <c r="T17" s="139">
        <f t="shared" si="2"/>
        <v>1.4543411103649038E-2</v>
      </c>
      <c r="U17" s="136"/>
      <c r="V17" s="152" t="s">
        <v>33</v>
      </c>
      <c r="W17" s="252">
        <v>-724235.90989303449</v>
      </c>
      <c r="X17" s="252">
        <v>653583.72345589451</v>
      </c>
      <c r="Y17" s="252">
        <v>-1.1080996724697472</v>
      </c>
      <c r="Z17" s="252">
        <v>0.27017177778129736</v>
      </c>
      <c r="AA17" s="252">
        <v>-2019103.1460369567</v>
      </c>
      <c r="AB17" s="252">
        <v>570631.32625088771</v>
      </c>
      <c r="AC17" s="252">
        <v>-2019103.1460369567</v>
      </c>
      <c r="AD17" s="252">
        <v>570631.32625088771</v>
      </c>
    </row>
    <row r="18" spans="1:40">
      <c r="A18" s="2">
        <v>2011</v>
      </c>
      <c r="B18" s="2" t="s">
        <v>6</v>
      </c>
      <c r="C18" s="7">
        <v>7965990.9553846158</v>
      </c>
      <c r="D18" s="7">
        <v>6193.66</v>
      </c>
      <c r="E18" s="7">
        <v>7972184.615384616</v>
      </c>
      <c r="F18" s="7"/>
      <c r="G18" s="15">
        <v>168.09999999999997</v>
      </c>
      <c r="H18" s="15">
        <v>12.8</v>
      </c>
      <c r="I18" s="2">
        <v>31</v>
      </c>
      <c r="J18" s="7">
        <v>671.5</v>
      </c>
      <c r="K18" s="7">
        <v>130454.68954912087</v>
      </c>
      <c r="L18" s="7">
        <v>3753615.9545820006</v>
      </c>
      <c r="M18" s="7"/>
      <c r="N18" s="135"/>
      <c r="O18" s="7"/>
      <c r="P18" s="163"/>
      <c r="Q18" s="7">
        <f t="shared" si="3"/>
        <v>8139051.8267529532</v>
      </c>
      <c r="R18" s="7">
        <f t="shared" si="0"/>
        <v>166867.21136833727</v>
      </c>
      <c r="S18" s="139">
        <f t="shared" si="1"/>
        <v>2.0931177515171831E-2</v>
      </c>
      <c r="T18" s="139">
        <f t="shared" si="2"/>
        <v>2.0931177515171831E-2</v>
      </c>
      <c r="U18" s="136"/>
      <c r="V18" s="152" t="s">
        <v>15</v>
      </c>
      <c r="W18" s="252">
        <v>2597.6354082605271</v>
      </c>
      <c r="X18" s="252">
        <v>65.383253783349247</v>
      </c>
      <c r="Y18" s="252">
        <v>39.729368881945291</v>
      </c>
      <c r="Z18" s="252">
        <v>3.103623647863812E-68</v>
      </c>
      <c r="AA18" s="252">
        <v>2468.0993900303311</v>
      </c>
      <c r="AB18" s="252">
        <v>2727.1714264907232</v>
      </c>
      <c r="AC18" s="252">
        <v>2468.0993900303311</v>
      </c>
      <c r="AD18" s="252">
        <v>2727.1714264907232</v>
      </c>
    </row>
    <row r="19" spans="1:40">
      <c r="A19" s="2">
        <v>2011</v>
      </c>
      <c r="B19" s="2" t="s">
        <v>7</v>
      </c>
      <c r="C19" s="7">
        <v>7938233.0184615394</v>
      </c>
      <c r="D19" s="7">
        <v>9228.52</v>
      </c>
      <c r="E19" s="7">
        <v>7947461.538461539</v>
      </c>
      <c r="F19" s="7"/>
      <c r="G19" s="15">
        <v>64.099999999999994</v>
      </c>
      <c r="H19" s="15">
        <v>16.400000000000002</v>
      </c>
      <c r="I19" s="2">
        <v>30</v>
      </c>
      <c r="J19" s="7">
        <v>681.8</v>
      </c>
      <c r="K19" s="7">
        <v>132862.89907053314</v>
      </c>
      <c r="L19" s="7">
        <v>3885859.6709010005</v>
      </c>
      <c r="M19" s="7"/>
      <c r="N19" s="135"/>
      <c r="O19" s="7"/>
      <c r="P19" s="163"/>
      <c r="Q19" s="7">
        <f t="shared" si="3"/>
        <v>7915310.4801278636</v>
      </c>
      <c r="R19" s="7">
        <f t="shared" si="0"/>
        <v>-32151.058333675377</v>
      </c>
      <c r="S19" s="139">
        <f t="shared" si="1"/>
        <v>-4.0454500066569865E-3</v>
      </c>
      <c r="T19" s="139">
        <f t="shared" si="2"/>
        <v>4.0454500066569865E-3</v>
      </c>
      <c r="U19" s="136"/>
      <c r="V19" s="152" t="s">
        <v>46</v>
      </c>
      <c r="W19" s="252">
        <v>10105.532274676847</v>
      </c>
      <c r="X19" s="252">
        <v>678.55594178679996</v>
      </c>
      <c r="Y19" s="252">
        <v>14.892703242810851</v>
      </c>
      <c r="Z19" s="252">
        <v>2.046664284847501E-28</v>
      </c>
      <c r="AA19" s="252">
        <v>8761.1905700447205</v>
      </c>
      <c r="AB19" s="252">
        <v>11449.873979308974</v>
      </c>
      <c r="AC19" s="252">
        <v>8761.1905700447205</v>
      </c>
      <c r="AD19" s="252">
        <v>11449.873979308974</v>
      </c>
    </row>
    <row r="20" spans="1:40">
      <c r="A20" s="2">
        <v>2011</v>
      </c>
      <c r="B20" s="2" t="s">
        <v>8</v>
      </c>
      <c r="C20" s="7">
        <v>8260101.8892307691</v>
      </c>
      <c r="D20" s="7">
        <v>22628.879999999997</v>
      </c>
      <c r="E20" s="7">
        <v>8282730.769230769</v>
      </c>
      <c r="F20" s="7"/>
      <c r="G20" s="15">
        <v>3.7</v>
      </c>
      <c r="H20" s="15">
        <v>104.29999999999998</v>
      </c>
      <c r="I20" s="2">
        <v>31</v>
      </c>
      <c r="J20" s="7">
        <v>691.5</v>
      </c>
      <c r="K20" s="7">
        <v>135271.10859194543</v>
      </c>
      <c r="L20" s="7">
        <v>3654592.0448179999</v>
      </c>
      <c r="M20" s="7"/>
      <c r="N20" s="135"/>
      <c r="O20" s="7"/>
      <c r="P20" s="163"/>
      <c r="Q20" s="7">
        <f t="shared" si="3"/>
        <v>8575894.0884532817</v>
      </c>
      <c r="R20" s="7">
        <f t="shared" si="0"/>
        <v>293163.31922251265</v>
      </c>
      <c r="S20" s="139">
        <f t="shared" si="1"/>
        <v>3.5394524751616335E-2</v>
      </c>
      <c r="T20" s="139">
        <f t="shared" si="2"/>
        <v>3.5394524751616335E-2</v>
      </c>
      <c r="U20" s="136"/>
      <c r="V20" s="152" t="s">
        <v>16</v>
      </c>
      <c r="W20" s="252">
        <v>124979.17410898861</v>
      </c>
      <c r="X20" s="252">
        <v>15464.213950332914</v>
      </c>
      <c r="Y20" s="252">
        <v>8.0818316734616857</v>
      </c>
      <c r="Z20" s="252">
        <v>7.8144036101344199E-13</v>
      </c>
      <c r="AA20" s="252">
        <v>94341.777156802811</v>
      </c>
      <c r="AB20" s="252">
        <v>155616.57106117441</v>
      </c>
      <c r="AC20" s="252">
        <v>94341.777156802811</v>
      </c>
      <c r="AD20" s="252">
        <v>155616.57106117441</v>
      </c>
    </row>
    <row r="21" spans="1:40">
      <c r="A21" s="2">
        <v>2011</v>
      </c>
      <c r="B21" s="2" t="s">
        <v>9</v>
      </c>
      <c r="C21" s="7">
        <v>8859702.7630769238</v>
      </c>
      <c r="D21" s="7">
        <v>10674.16</v>
      </c>
      <c r="E21" s="7">
        <v>8870376.9230769239</v>
      </c>
      <c r="F21" s="7"/>
      <c r="G21" s="15">
        <v>13.6</v>
      </c>
      <c r="H21" s="15">
        <v>53.300000000000004</v>
      </c>
      <c r="I21" s="2">
        <v>31</v>
      </c>
      <c r="J21" s="7">
        <v>694.9</v>
      </c>
      <c r="K21" s="7">
        <v>137679.3181133577</v>
      </c>
      <c r="L21" s="7">
        <v>4498564.7389930002</v>
      </c>
      <c r="M21" s="7"/>
      <c r="N21" s="135"/>
      <c r="O21" s="7"/>
      <c r="P21" s="163"/>
      <c r="Q21" s="7">
        <f t="shared" si="3"/>
        <v>8854508.3209425509</v>
      </c>
      <c r="R21" s="7">
        <f t="shared" si="0"/>
        <v>-15868.602134373039</v>
      </c>
      <c r="S21" s="139">
        <f t="shared" si="1"/>
        <v>-1.7889433867336268E-3</v>
      </c>
      <c r="T21" s="139">
        <f t="shared" si="2"/>
        <v>1.7889433867336268E-3</v>
      </c>
      <c r="U21" s="136"/>
      <c r="V21" s="152" t="s">
        <v>78</v>
      </c>
      <c r="W21" s="252">
        <v>1781.9276456202792</v>
      </c>
      <c r="X21" s="252">
        <v>813.56873312856521</v>
      </c>
      <c r="Y21" s="252">
        <v>2.1902607279017543</v>
      </c>
      <c r="Z21" s="252">
        <v>3.0559565060735486E-2</v>
      </c>
      <c r="AA21" s="252">
        <v>170.10125051209707</v>
      </c>
      <c r="AB21" s="252">
        <v>3393.7540407284614</v>
      </c>
      <c r="AC21" s="252">
        <v>170.10125051209707</v>
      </c>
      <c r="AD21" s="252">
        <v>3393.7540407284614</v>
      </c>
    </row>
    <row r="22" spans="1:40">
      <c r="A22" s="2">
        <v>2011</v>
      </c>
      <c r="B22" s="2" t="s">
        <v>10</v>
      </c>
      <c r="C22" s="7">
        <v>8375602.868461539</v>
      </c>
      <c r="D22" s="7">
        <v>8058.670000000001</v>
      </c>
      <c r="E22" s="7">
        <v>8383661.538461539</v>
      </c>
      <c r="F22" s="7"/>
      <c r="G22" s="15">
        <v>106.33333333333331</v>
      </c>
      <c r="H22" s="15">
        <v>20.7</v>
      </c>
      <c r="I22" s="2">
        <v>30</v>
      </c>
      <c r="J22" s="7">
        <v>688.6</v>
      </c>
      <c r="K22" s="7">
        <v>140087.52763477</v>
      </c>
      <c r="L22" s="7">
        <v>4242244.9229550008</v>
      </c>
      <c r="M22" s="7"/>
      <c r="N22" s="135"/>
      <c r="O22" s="7"/>
      <c r="Q22" s="7">
        <f t="shared" si="3"/>
        <v>8393967.4553035554</v>
      </c>
      <c r="R22" s="7">
        <f t="shared" si="0"/>
        <v>10305.916842016391</v>
      </c>
      <c r="S22" s="139">
        <f t="shared" si="1"/>
        <v>1.2292858907454892E-3</v>
      </c>
      <c r="T22" s="139">
        <f t="shared" si="2"/>
        <v>1.2292858907454892E-3</v>
      </c>
      <c r="V22" s="152" t="s">
        <v>108</v>
      </c>
      <c r="W22" s="252">
        <v>-1.3667998907902397</v>
      </c>
      <c r="X22" s="252">
        <v>0.22225739912714901</v>
      </c>
      <c r="Y22" s="252">
        <v>-6.1496260469075352</v>
      </c>
      <c r="Z22" s="252">
        <v>1.2037035322973804E-8</v>
      </c>
      <c r="AA22" s="252">
        <v>-1.8071318846755329</v>
      </c>
      <c r="AB22" s="252">
        <v>-0.92646789690494658</v>
      </c>
      <c r="AC22" s="252">
        <v>-1.8071318846755329</v>
      </c>
      <c r="AD22" s="252">
        <v>-0.92646789690494658</v>
      </c>
    </row>
    <row r="23" spans="1:40" ht="16" thickBot="1">
      <c r="A23" s="2">
        <v>2011</v>
      </c>
      <c r="B23" s="2" t="s">
        <v>11</v>
      </c>
      <c r="C23" s="7">
        <v>8940191.7138461545</v>
      </c>
      <c r="D23" s="7">
        <v>6054.44</v>
      </c>
      <c r="E23" s="7">
        <v>8946246.153846154</v>
      </c>
      <c r="F23" s="7"/>
      <c r="G23" s="15">
        <v>276.60000000000008</v>
      </c>
      <c r="H23" s="15">
        <v>0.3</v>
      </c>
      <c r="I23" s="2">
        <v>31</v>
      </c>
      <c r="J23" s="7">
        <v>682.2</v>
      </c>
      <c r="K23" s="7">
        <v>142495.73715618227</v>
      </c>
      <c r="L23" s="7">
        <v>4411473.7128020003</v>
      </c>
      <c r="M23" s="7"/>
      <c r="N23" s="135"/>
      <c r="O23" s="7"/>
      <c r="Q23" s="7">
        <f t="shared" si="3"/>
        <v>8893885.0515080802</v>
      </c>
      <c r="R23" s="7">
        <f t="shared" si="0"/>
        <v>-52361.102338073775</v>
      </c>
      <c r="S23" s="139">
        <f t="shared" si="1"/>
        <v>-5.8528573255904413E-3</v>
      </c>
      <c r="T23" s="139">
        <f t="shared" si="2"/>
        <v>5.8528573255904413E-3</v>
      </c>
      <c r="V23" s="153" t="s">
        <v>153</v>
      </c>
      <c r="W23" s="253">
        <v>0.90703500214550292</v>
      </c>
      <c r="X23" s="253">
        <v>3.3576397942972021E-2</v>
      </c>
      <c r="Y23" s="253">
        <v>27.014065168219069</v>
      </c>
      <c r="Z23" s="253">
        <v>3.9974978856295795E-51</v>
      </c>
      <c r="AA23" s="253">
        <v>0.84051410200099586</v>
      </c>
      <c r="AB23" s="253">
        <v>0.97355590229000999</v>
      </c>
      <c r="AC23" s="253">
        <v>0.84051410200099586</v>
      </c>
      <c r="AD23" s="253">
        <v>0.97355590229000999</v>
      </c>
    </row>
    <row r="24" spans="1:40">
      <c r="A24" s="2">
        <v>2011</v>
      </c>
      <c r="B24" s="2" t="s">
        <v>12</v>
      </c>
      <c r="C24" s="7">
        <v>8871563.3261538465</v>
      </c>
      <c r="D24" s="7">
        <v>4890.5200000000004</v>
      </c>
      <c r="E24" s="7">
        <v>8876453.846153846</v>
      </c>
      <c r="F24" s="7"/>
      <c r="G24" s="15">
        <v>399.39999999999992</v>
      </c>
      <c r="H24" s="15">
        <v>0</v>
      </c>
      <c r="I24" s="2">
        <v>30</v>
      </c>
      <c r="J24" s="7">
        <v>677</v>
      </c>
      <c r="K24" s="7">
        <v>144903.94667759456</v>
      </c>
      <c r="L24" s="7">
        <v>4082024.3273420003</v>
      </c>
      <c r="M24" s="7"/>
      <c r="N24" s="135"/>
      <c r="O24" s="7"/>
      <c r="Q24" s="7">
        <f t="shared" si="3"/>
        <v>8773484.1575354431</v>
      </c>
      <c r="R24" s="7">
        <f t="shared" si="0"/>
        <v>-102969.68861840293</v>
      </c>
      <c r="S24" s="139">
        <f t="shared" si="1"/>
        <v>-1.160031814540663E-2</v>
      </c>
      <c r="T24" s="139">
        <f t="shared" si="2"/>
        <v>1.160031814540663E-2</v>
      </c>
      <c r="V24"/>
      <c r="W24"/>
      <c r="X24"/>
      <c r="Y24"/>
      <c r="Z24"/>
      <c r="AA24"/>
      <c r="AB24"/>
      <c r="AC24"/>
      <c r="AD24"/>
    </row>
    <row r="25" spans="1:40">
      <c r="A25" s="2">
        <v>2011</v>
      </c>
      <c r="B25" s="2" t="s">
        <v>13</v>
      </c>
      <c r="C25" s="7">
        <v>9351798.3469230756</v>
      </c>
      <c r="D25" s="7">
        <v>1824.73</v>
      </c>
      <c r="E25" s="7">
        <v>9353623.0769230761</v>
      </c>
      <c r="F25" s="7"/>
      <c r="G25" s="15">
        <v>609.79999999999984</v>
      </c>
      <c r="H25" s="15">
        <v>0</v>
      </c>
      <c r="I25" s="2">
        <v>31</v>
      </c>
      <c r="J25" s="7">
        <v>676.6</v>
      </c>
      <c r="K25" s="7">
        <v>147312.15619900686</v>
      </c>
      <c r="L25" s="7">
        <v>3790571.2206960004</v>
      </c>
      <c r="M25" s="7"/>
      <c r="N25" s="135"/>
      <c r="O25" s="7"/>
      <c r="Q25" s="7">
        <f t="shared" si="3"/>
        <v>9176643.3407613635</v>
      </c>
      <c r="R25" s="7">
        <f t="shared" si="0"/>
        <v>-176979.73616171256</v>
      </c>
      <c r="S25" s="139">
        <f t="shared" si="1"/>
        <v>-1.8920982244660961E-2</v>
      </c>
      <c r="T25" s="139">
        <f t="shared" si="2"/>
        <v>1.8920982244660961E-2</v>
      </c>
      <c r="V25"/>
      <c r="W25"/>
      <c r="X25"/>
      <c r="Y25"/>
      <c r="Z25"/>
      <c r="AA25"/>
      <c r="AB25"/>
      <c r="AC25"/>
      <c r="AD25"/>
    </row>
    <row r="26" spans="1:40">
      <c r="A26" s="134">
        <v>2012</v>
      </c>
      <c r="B26" s="134" t="s">
        <v>2</v>
      </c>
      <c r="C26" s="7">
        <v>9967007.9638461564</v>
      </c>
      <c r="D26" s="7">
        <v>2638.1899999999996</v>
      </c>
      <c r="E26" s="7">
        <v>9969646.1538461559</v>
      </c>
      <c r="F26" s="7"/>
      <c r="G26" s="15">
        <v>694.59999999999991</v>
      </c>
      <c r="H26" s="15">
        <v>0</v>
      </c>
      <c r="I26" s="2">
        <v>31</v>
      </c>
      <c r="J26" s="7">
        <v>670.9</v>
      </c>
      <c r="K26" s="7">
        <v>150637.88616453169</v>
      </c>
      <c r="L26" s="7">
        <v>4250569.7720590001</v>
      </c>
      <c r="M26" s="7"/>
      <c r="N26" s="135"/>
      <c r="O26" s="7"/>
      <c r="Q26" s="7">
        <f t="shared" si="3"/>
        <v>9799455.0154706091</v>
      </c>
      <c r="R26" s="7">
        <f t="shared" si="0"/>
        <v>-170191.13837554678</v>
      </c>
      <c r="S26" s="139">
        <f t="shared" si="1"/>
        <v>-1.7070930677904685E-2</v>
      </c>
      <c r="T26" s="139">
        <f t="shared" si="2"/>
        <v>1.7070930677904685E-2</v>
      </c>
      <c r="V26"/>
      <c r="W26"/>
      <c r="X26"/>
      <c r="Y26"/>
      <c r="Z26"/>
      <c r="AA26"/>
      <c r="AB26"/>
      <c r="AC26"/>
      <c r="AD26"/>
      <c r="AF26"/>
      <c r="AG26"/>
      <c r="AH26"/>
      <c r="AI26"/>
      <c r="AJ26"/>
      <c r="AK26"/>
      <c r="AL26"/>
      <c r="AM26"/>
      <c r="AN26"/>
    </row>
    <row r="27" spans="1:40">
      <c r="A27" s="2">
        <v>2012</v>
      </c>
      <c r="B27" s="2" t="s">
        <v>3</v>
      </c>
      <c r="C27" s="7">
        <v>9262148.6623076946</v>
      </c>
      <c r="D27" s="7">
        <v>4659.03</v>
      </c>
      <c r="E27" s="7">
        <v>9266807.6923076939</v>
      </c>
      <c r="F27" s="7"/>
      <c r="G27" s="15">
        <v>611.39999999999986</v>
      </c>
      <c r="H27" s="15">
        <v>0</v>
      </c>
      <c r="I27" s="2">
        <v>28</v>
      </c>
      <c r="J27" s="7">
        <v>668.7</v>
      </c>
      <c r="K27" s="7">
        <v>153963.61613005653</v>
      </c>
      <c r="L27" s="7">
        <v>4141903.1103710001</v>
      </c>
      <c r="M27" s="7"/>
      <c r="N27" s="135"/>
      <c r="O27" s="7"/>
      <c r="Q27" s="7">
        <f t="shared" si="3"/>
        <v>9101363.9132850058</v>
      </c>
      <c r="R27" s="7">
        <f t="shared" si="0"/>
        <v>-165443.77902268805</v>
      </c>
      <c r="S27" s="139">
        <f t="shared" si="1"/>
        <v>-1.7853373515026288E-2</v>
      </c>
      <c r="T27" s="139">
        <f t="shared" si="2"/>
        <v>1.7853373515026288E-2</v>
      </c>
      <c r="V27"/>
      <c r="W27"/>
      <c r="X27"/>
      <c r="Y27"/>
      <c r="Z27"/>
      <c r="AA27"/>
      <c r="AB27"/>
      <c r="AC27"/>
      <c r="AD27"/>
    </row>
    <row r="28" spans="1:40">
      <c r="A28" s="2">
        <v>2012</v>
      </c>
      <c r="B28" s="2" t="s">
        <v>4</v>
      </c>
      <c r="C28" s="7">
        <v>9399442.7746153865</v>
      </c>
      <c r="D28" s="7">
        <v>10172.61</v>
      </c>
      <c r="E28" s="7">
        <v>9409615.3846153859</v>
      </c>
      <c r="F28" s="7"/>
      <c r="G28" s="15">
        <v>388.69999999999987</v>
      </c>
      <c r="H28" s="15">
        <v>3.4000000000000004</v>
      </c>
      <c r="I28" s="2">
        <v>31</v>
      </c>
      <c r="J28" s="7">
        <v>666</v>
      </c>
      <c r="K28" s="7">
        <v>157289.34609558136</v>
      </c>
      <c r="L28" s="7">
        <v>4592873.6529520005</v>
      </c>
      <c r="M28" s="7"/>
      <c r="N28" s="135"/>
      <c r="O28" s="7"/>
      <c r="Q28" s="7">
        <f t="shared" si="3"/>
        <v>9331856.0949869193</v>
      </c>
      <c r="R28" s="7">
        <f t="shared" si="0"/>
        <v>-77759.289628466591</v>
      </c>
      <c r="S28" s="139">
        <f t="shared" si="1"/>
        <v>-8.2638116915599059E-3</v>
      </c>
      <c r="T28" s="139">
        <f t="shared" si="2"/>
        <v>8.2638116915599059E-3</v>
      </c>
      <c r="V28"/>
      <c r="W28"/>
      <c r="X28"/>
      <c r="Y28"/>
      <c r="Z28"/>
      <c r="AA28"/>
      <c r="AB28"/>
      <c r="AC28"/>
      <c r="AD28"/>
    </row>
    <row r="29" spans="1:40" ht="15.65" customHeight="1">
      <c r="A29" s="2">
        <v>2012</v>
      </c>
      <c r="B29" s="2" t="s">
        <v>5</v>
      </c>
      <c r="C29" s="7">
        <v>8515350.2692307699</v>
      </c>
      <c r="D29" s="7">
        <v>13280.5</v>
      </c>
      <c r="E29" s="7">
        <v>8528630.7692307699</v>
      </c>
      <c r="F29" s="7"/>
      <c r="G29" s="15">
        <v>399</v>
      </c>
      <c r="H29" s="15">
        <v>0</v>
      </c>
      <c r="I29" s="2">
        <v>30</v>
      </c>
      <c r="J29" s="7">
        <v>667.4</v>
      </c>
      <c r="K29" s="7">
        <v>160615.07606110617</v>
      </c>
      <c r="L29" s="7">
        <v>4218127.1515630009</v>
      </c>
      <c r="M29" s="7"/>
      <c r="N29" s="135"/>
      <c r="O29" s="7"/>
      <c r="Q29" s="7">
        <f t="shared" si="3"/>
        <v>8857314.6535079125</v>
      </c>
      <c r="R29" s="7">
        <f t="shared" si="0"/>
        <v>328683.88427714258</v>
      </c>
      <c r="S29" s="139">
        <f t="shared" si="1"/>
        <v>3.853888076183979E-2</v>
      </c>
      <c r="T29" s="139">
        <f t="shared" si="2"/>
        <v>3.853888076183979E-2</v>
      </c>
      <c r="V29" s="132"/>
      <c r="W29"/>
      <c r="X29" s="132"/>
      <c r="Y29" s="132"/>
      <c r="Z29" s="132"/>
      <c r="AA29" s="132"/>
      <c r="AB29" s="132"/>
      <c r="AC29" s="132"/>
      <c r="AD29" s="132"/>
    </row>
    <row r="30" spans="1:40" ht="34.5" customHeight="1">
      <c r="A30" s="2">
        <v>2012</v>
      </c>
      <c r="B30" s="2" t="s">
        <v>6</v>
      </c>
      <c r="C30" s="7">
        <v>8595523.6599999983</v>
      </c>
      <c r="D30" s="7">
        <v>16576.340000000004</v>
      </c>
      <c r="E30" s="7">
        <v>8612099.9999999981</v>
      </c>
      <c r="F30" s="7"/>
      <c r="G30" s="15">
        <v>123.8</v>
      </c>
      <c r="H30" s="15">
        <v>17.400000000000002</v>
      </c>
      <c r="I30" s="2">
        <v>31</v>
      </c>
      <c r="J30" s="7">
        <v>672.1</v>
      </c>
      <c r="K30" s="7">
        <v>163940.80602663101</v>
      </c>
      <c r="L30" s="7">
        <v>4557567.8623670004</v>
      </c>
      <c r="M30" s="7"/>
      <c r="N30" s="135"/>
      <c r="O30" s="7"/>
      <c r="Q30" s="7">
        <f t="shared" si="3"/>
        <v>8754974.8832760956</v>
      </c>
      <c r="R30" s="7">
        <f t="shared" si="0"/>
        <v>142874.88327609748</v>
      </c>
      <c r="S30" s="139">
        <f t="shared" si="1"/>
        <v>1.6590016752719722E-2</v>
      </c>
      <c r="T30" s="139">
        <f t="shared" si="2"/>
        <v>1.6590016752719722E-2</v>
      </c>
      <c r="V30" s="137" t="s">
        <v>0</v>
      </c>
      <c r="W30" s="156" t="s">
        <v>151</v>
      </c>
      <c r="X30" s="137" t="s">
        <v>53</v>
      </c>
      <c r="Y30" s="137" t="s">
        <v>18</v>
      </c>
      <c r="Z30" s="138" t="s">
        <v>182</v>
      </c>
    </row>
    <row r="31" spans="1:40" ht="14.5">
      <c r="A31" s="2">
        <v>2012</v>
      </c>
      <c r="B31" s="2" t="s">
        <v>7</v>
      </c>
      <c r="C31" s="7">
        <v>8622525.7709090896</v>
      </c>
      <c r="D31" s="7">
        <v>16383.320000000002</v>
      </c>
      <c r="E31" s="7">
        <v>8638909.0909090899</v>
      </c>
      <c r="F31" s="7"/>
      <c r="G31" s="15">
        <v>56.4</v>
      </c>
      <c r="H31" s="15">
        <v>57.100000000000009</v>
      </c>
      <c r="I31" s="2">
        <v>30</v>
      </c>
      <c r="J31" s="7">
        <v>678.4</v>
      </c>
      <c r="K31" s="7">
        <v>167266.53599215584</v>
      </c>
      <c r="L31" s="7">
        <v>4499265.5448909998</v>
      </c>
      <c r="M31" s="7"/>
      <c r="N31" s="135"/>
      <c r="O31" s="7"/>
      <c r="Q31" s="7">
        <f t="shared" si="3"/>
        <v>8809903.0081118178</v>
      </c>
      <c r="R31" s="7">
        <f t="shared" si="0"/>
        <v>170993.91720272787</v>
      </c>
      <c r="S31" s="139">
        <f t="shared" si="1"/>
        <v>1.9793461813676042E-2</v>
      </c>
      <c r="T31" s="139">
        <f t="shared" si="2"/>
        <v>1.9793461813676042E-2</v>
      </c>
      <c r="V31" s="4">
        <v>2010</v>
      </c>
      <c r="W31" s="7">
        <f>SUM(E2:E13)</f>
        <v>102608246.15384616</v>
      </c>
      <c r="X31" s="2"/>
      <c r="Y31" s="7">
        <f>SUM(Q2:Q13)</f>
        <v>102173701.10009556</v>
      </c>
      <c r="Z31" s="17">
        <f t="shared" ref="Z31:Z40" si="4">ABS(Y31-W31)/W31</f>
        <v>4.2349915337122832E-3</v>
      </c>
    </row>
    <row r="32" spans="1:40" ht="14.5">
      <c r="A32" s="2">
        <v>2012</v>
      </c>
      <c r="B32" s="2" t="s">
        <v>8</v>
      </c>
      <c r="C32" s="7">
        <v>8752710.5327272713</v>
      </c>
      <c r="D32" s="7">
        <v>16816.740000000002</v>
      </c>
      <c r="E32" s="7">
        <v>8769527.2727272715</v>
      </c>
      <c r="F32" s="7"/>
      <c r="G32" s="15">
        <v>0.4</v>
      </c>
      <c r="H32" s="15">
        <v>94.000000000000028</v>
      </c>
      <c r="I32" s="2">
        <v>31</v>
      </c>
      <c r="J32" s="7">
        <v>682</v>
      </c>
      <c r="K32" s="7">
        <v>170592.26595768068</v>
      </c>
      <c r="L32" s="7">
        <v>4141164.2481300007</v>
      </c>
      <c r="M32" s="7"/>
      <c r="N32" s="135"/>
      <c r="O32" s="7"/>
      <c r="Q32" s="7">
        <f t="shared" si="3"/>
        <v>8839367.6619884279</v>
      </c>
      <c r="R32" s="7">
        <f t="shared" si="0"/>
        <v>69840.389261156321</v>
      </c>
      <c r="S32" s="139">
        <f t="shared" si="1"/>
        <v>7.9639856390384851E-3</v>
      </c>
      <c r="T32" s="139">
        <f t="shared" si="2"/>
        <v>7.9639856390384851E-3</v>
      </c>
      <c r="V32" s="4">
        <v>2011</v>
      </c>
      <c r="W32" s="7">
        <f>SUM(E14:E25)</f>
        <v>105492261.53846154</v>
      </c>
      <c r="X32" s="139">
        <f>(W32-W31)/W31</f>
        <v>2.8107052724507291E-2</v>
      </c>
      <c r="Y32" s="7">
        <f>SUM(Q14:Q25)</f>
        <v>105683888.57672909</v>
      </c>
      <c r="Z32" s="17">
        <f t="shared" si="4"/>
        <v>1.8165032721161954E-3</v>
      </c>
    </row>
    <row r="33" spans="1:26" ht="14.5">
      <c r="A33" s="2">
        <v>2012</v>
      </c>
      <c r="B33" s="2" t="s">
        <v>9</v>
      </c>
      <c r="C33" s="7">
        <v>9181451.5500000007</v>
      </c>
      <c r="D33" s="7">
        <v>20048.45</v>
      </c>
      <c r="E33" s="7">
        <v>9201500</v>
      </c>
      <c r="F33" s="7"/>
      <c r="G33" s="15">
        <v>22.5</v>
      </c>
      <c r="H33" s="15">
        <v>50.7</v>
      </c>
      <c r="I33" s="2">
        <v>31</v>
      </c>
      <c r="J33" s="7">
        <v>678.5</v>
      </c>
      <c r="K33" s="7">
        <v>173917.99592320551</v>
      </c>
      <c r="L33" s="7">
        <v>4856393.7889999999</v>
      </c>
      <c r="M33" s="7"/>
      <c r="N33" s="135"/>
      <c r="O33" s="7"/>
      <c r="Q33" s="7">
        <f t="shared" si="3"/>
        <v>9097161.7310416773</v>
      </c>
      <c r="R33" s="7">
        <f t="shared" si="0"/>
        <v>-104338.2689583227</v>
      </c>
      <c r="S33" s="139">
        <f t="shared" si="1"/>
        <v>-1.1339267397524611E-2</v>
      </c>
      <c r="T33" s="139">
        <f t="shared" si="2"/>
        <v>1.1339267397524611E-2</v>
      </c>
      <c r="V33" s="4">
        <v>2012</v>
      </c>
      <c r="W33" s="7">
        <f>SUM(E26:E37)</f>
        <v>108285745.45454547</v>
      </c>
      <c r="X33" s="139">
        <f t="shared" ref="X33:X40" si="5">(W33-W32)/W32</f>
        <v>2.6480462882724841E-2</v>
      </c>
      <c r="Y33" s="7">
        <f>SUM(Q26:Q37)</f>
        <v>108029545.8436258</v>
      </c>
      <c r="Z33" s="17">
        <f t="shared" si="4"/>
        <v>2.365958786581128E-3</v>
      </c>
    </row>
    <row r="34" spans="1:26" ht="14.5">
      <c r="A34" s="2">
        <v>2012</v>
      </c>
      <c r="B34" s="2" t="s">
        <v>10</v>
      </c>
      <c r="C34" s="7">
        <v>8434653.7318181824</v>
      </c>
      <c r="D34" s="7">
        <v>16364.45</v>
      </c>
      <c r="E34" s="7">
        <v>8451018.1818181816</v>
      </c>
      <c r="F34" s="7"/>
      <c r="G34" s="15">
        <v>134.69999999999999</v>
      </c>
      <c r="H34" s="15">
        <v>15.300000000000002</v>
      </c>
      <c r="I34" s="2">
        <v>30</v>
      </c>
      <c r="J34" s="7">
        <v>671.9</v>
      </c>
      <c r="K34" s="7">
        <v>177243.72588873032</v>
      </c>
      <c r="L34" s="7">
        <v>4216762.1303469995</v>
      </c>
      <c r="M34" s="7"/>
      <c r="N34" s="135"/>
      <c r="O34" s="7"/>
      <c r="Q34" s="7">
        <f t="shared" si="3"/>
        <v>8309426.7745225327</v>
      </c>
      <c r="R34" s="7">
        <f t="shared" si="0"/>
        <v>-141591.40729564894</v>
      </c>
      <c r="S34" s="139">
        <f t="shared" si="1"/>
        <v>-1.6754360746764653E-2</v>
      </c>
      <c r="T34" s="139">
        <f t="shared" si="2"/>
        <v>1.6754360746764653E-2</v>
      </c>
      <c r="V34" s="4">
        <v>2013</v>
      </c>
      <c r="W34" s="7">
        <f>SUM(E38:E49)</f>
        <v>110963046.82000002</v>
      </c>
      <c r="X34" s="139">
        <f t="shared" si="5"/>
        <v>2.4724411825547171E-2</v>
      </c>
      <c r="Y34" s="7">
        <f>SUM(Q38:Q49)</f>
        <v>111196047.45573741</v>
      </c>
      <c r="Z34" s="17">
        <f t="shared" si="4"/>
        <v>2.0998038753870375E-3</v>
      </c>
    </row>
    <row r="35" spans="1:26" ht="14.5">
      <c r="A35" s="2">
        <v>2012</v>
      </c>
      <c r="B35" s="2" t="s">
        <v>11</v>
      </c>
      <c r="C35" s="7">
        <v>9146506.1836363636</v>
      </c>
      <c r="D35" s="7">
        <v>8530.1799999999985</v>
      </c>
      <c r="E35" s="7">
        <v>9155036.3636363633</v>
      </c>
      <c r="F35" s="7"/>
      <c r="G35" s="15">
        <v>292.2</v>
      </c>
      <c r="H35" s="15">
        <v>0</v>
      </c>
      <c r="I35" s="2">
        <v>31</v>
      </c>
      <c r="J35" s="7">
        <v>672.8</v>
      </c>
      <c r="K35" s="7">
        <v>180856.36871989889</v>
      </c>
      <c r="L35" s="7">
        <v>4599891.7149360003</v>
      </c>
      <c r="M35" s="7"/>
      <c r="N35" s="135"/>
      <c r="O35" s="7"/>
      <c r="Q35" s="7">
        <f t="shared" si="3"/>
        <v>9033096.8002636414</v>
      </c>
      <c r="R35" s="7">
        <f t="shared" si="0"/>
        <v>-121939.5633727219</v>
      </c>
      <c r="S35" s="139">
        <f t="shared" si="1"/>
        <v>-1.3319396944949734E-2</v>
      </c>
      <c r="T35" s="139">
        <f t="shared" si="2"/>
        <v>1.3319396944949734E-2</v>
      </c>
      <c r="V35" s="4">
        <v>2014</v>
      </c>
      <c r="W35" s="7">
        <f>SUM(E50:E61)</f>
        <v>112203044.71589744</v>
      </c>
      <c r="X35" s="139">
        <f t="shared" si="5"/>
        <v>1.1174872459197115E-2</v>
      </c>
      <c r="Y35" s="7">
        <f>SUM(Q50:Q61)</f>
        <v>112379327.29251103</v>
      </c>
      <c r="Z35" s="17">
        <f t="shared" si="4"/>
        <v>1.5711033248691655E-3</v>
      </c>
    </row>
    <row r="36" spans="1:26" ht="14.5">
      <c r="A36" s="2">
        <v>2012</v>
      </c>
      <c r="B36" s="2" t="s">
        <v>12</v>
      </c>
      <c r="C36" s="7">
        <v>9009830.8263636343</v>
      </c>
      <c r="D36" s="7">
        <v>6432.8099999999995</v>
      </c>
      <c r="E36" s="7">
        <v>9016263.6363636348</v>
      </c>
      <c r="F36" s="7"/>
      <c r="G36" s="15">
        <v>505.72222222222223</v>
      </c>
      <c r="H36" s="15">
        <v>0</v>
      </c>
      <c r="I36" s="2">
        <v>30</v>
      </c>
      <c r="J36" s="7">
        <v>676.8</v>
      </c>
      <c r="K36" s="7">
        <v>184187.3830493282</v>
      </c>
      <c r="L36" s="7">
        <v>4092980.1542040003</v>
      </c>
      <c r="M36" s="7"/>
      <c r="N36" s="135"/>
      <c r="O36" s="7"/>
      <c r="Q36" s="7">
        <f t="shared" si="3"/>
        <v>9005558.8630342353</v>
      </c>
      <c r="R36" s="7">
        <f t="shared" si="0"/>
        <v>-10704.773329399526</v>
      </c>
      <c r="S36" s="139">
        <f t="shared" si="1"/>
        <v>-1.1872737711690169E-3</v>
      </c>
      <c r="T36" s="139">
        <f t="shared" si="2"/>
        <v>1.1872737711690169E-3</v>
      </c>
      <c r="V36" s="4">
        <v>2015</v>
      </c>
      <c r="W36" s="7">
        <f>SUM(E62:E73)</f>
        <v>112178418.50384614</v>
      </c>
      <c r="X36" s="139">
        <f t="shared" si="5"/>
        <v>-2.1947900000090676E-4</v>
      </c>
      <c r="Y36" s="7">
        <f>SUM(Q62:Q73)</f>
        <v>112108113.62844616</v>
      </c>
      <c r="Z36" s="17">
        <f t="shared" si="4"/>
        <v>6.2672371689360647E-4</v>
      </c>
    </row>
    <row r="37" spans="1:26" ht="14.5">
      <c r="A37" s="2">
        <v>2012</v>
      </c>
      <c r="B37" s="2" t="s">
        <v>13</v>
      </c>
      <c r="C37" s="7">
        <v>9263492.1590909082</v>
      </c>
      <c r="D37" s="7">
        <v>3198.7499999999995</v>
      </c>
      <c r="E37" s="7">
        <v>9266690.9090909082</v>
      </c>
      <c r="F37" s="7"/>
      <c r="G37" s="15">
        <v>590.9</v>
      </c>
      <c r="H37" s="15">
        <v>0</v>
      </c>
      <c r="I37" s="2">
        <v>31</v>
      </c>
      <c r="J37" s="7">
        <v>682.7</v>
      </c>
      <c r="K37" s="7">
        <v>187518.39737875751</v>
      </c>
      <c r="L37" s="7">
        <v>3797850.4767240002</v>
      </c>
      <c r="M37" s="7"/>
      <c r="N37" s="135"/>
      <c r="O37" s="7"/>
      <c r="Q37" s="7">
        <f t="shared" si="3"/>
        <v>9090066.4441369288</v>
      </c>
      <c r="R37" s="7">
        <f t="shared" si="0"/>
        <v>-176624.46495397948</v>
      </c>
      <c r="S37" s="139">
        <f t="shared" si="1"/>
        <v>-1.9060144196749399E-2</v>
      </c>
      <c r="T37" s="139">
        <f t="shared" si="2"/>
        <v>1.9060144196749399E-2</v>
      </c>
      <c r="V37" s="4">
        <v>2016</v>
      </c>
      <c r="W37" s="7">
        <f>SUM(E74:E85)</f>
        <v>109112022.43230771</v>
      </c>
      <c r="X37" s="139">
        <f t="shared" si="5"/>
        <v>-2.7334991101102921E-2</v>
      </c>
      <c r="Y37" s="7">
        <f>SUM(Q74:Q85)</f>
        <v>108980114.88682649</v>
      </c>
      <c r="Z37" s="17">
        <f t="shared" si="4"/>
        <v>1.2089185274065867E-3</v>
      </c>
    </row>
    <row r="38" spans="1:26" ht="14.5">
      <c r="A38" s="134">
        <v>2013</v>
      </c>
      <c r="B38" s="134" t="s">
        <v>2</v>
      </c>
      <c r="C38" s="7">
        <v>10224302.743333334</v>
      </c>
      <c r="D38" s="7">
        <v>4705.59</v>
      </c>
      <c r="E38" s="7">
        <v>10229008.333333334</v>
      </c>
      <c r="F38" s="7"/>
      <c r="G38" s="15">
        <v>703.36666666666667</v>
      </c>
      <c r="H38" s="15">
        <v>0</v>
      </c>
      <c r="I38" s="2">
        <v>31</v>
      </c>
      <c r="J38" s="7">
        <v>681.6</v>
      </c>
      <c r="K38" s="7">
        <v>189297.6960331352</v>
      </c>
      <c r="L38" s="7">
        <v>4525946.9213760002</v>
      </c>
      <c r="M38" s="7"/>
      <c r="N38" s="135"/>
      <c r="O38" s="7"/>
      <c r="Q38" s="7">
        <f t="shared" si="3"/>
        <v>10038230.734339688</v>
      </c>
      <c r="R38" s="7">
        <f t="shared" si="0"/>
        <v>-190777.59899364598</v>
      </c>
      <c r="S38" s="139">
        <f t="shared" si="1"/>
        <v>-1.8650644595914329E-2</v>
      </c>
      <c r="T38" s="139">
        <f t="shared" si="2"/>
        <v>1.8650644595914329E-2</v>
      </c>
      <c r="V38" s="4">
        <v>2017</v>
      </c>
      <c r="W38" s="7">
        <f>SUM(E86:E97)</f>
        <v>107122742.0052381</v>
      </c>
      <c r="X38" s="139">
        <f t="shared" si="5"/>
        <v>-1.8231542067728965E-2</v>
      </c>
      <c r="Y38" s="7">
        <f>SUM(Q86:Q97)</f>
        <v>107482226.4768178</v>
      </c>
      <c r="Z38" s="17">
        <f t="shared" si="4"/>
        <v>3.3558184270724009E-3</v>
      </c>
    </row>
    <row r="39" spans="1:26" ht="14.5">
      <c r="A39" s="2">
        <v>2013</v>
      </c>
      <c r="B39" s="2" t="s">
        <v>3</v>
      </c>
      <c r="C39" s="7">
        <v>9381443.3200000022</v>
      </c>
      <c r="D39" s="7">
        <v>2406.6799999999994</v>
      </c>
      <c r="E39" s="7">
        <v>9383850.0000000019</v>
      </c>
      <c r="F39" s="7"/>
      <c r="G39" s="15">
        <v>699.59999999999991</v>
      </c>
      <c r="H39" s="15">
        <v>0</v>
      </c>
      <c r="I39" s="2">
        <v>28</v>
      </c>
      <c r="J39" s="7">
        <v>682.6</v>
      </c>
      <c r="K39" s="7">
        <v>191076.9946875129</v>
      </c>
      <c r="L39" s="7">
        <v>4293131.7804840002</v>
      </c>
      <c r="M39" s="7"/>
      <c r="N39" s="135"/>
      <c r="O39" s="7"/>
      <c r="Q39" s="7">
        <f t="shared" si="3"/>
        <v>9441687.2859289255</v>
      </c>
      <c r="R39" s="7">
        <f t="shared" si="0"/>
        <v>57837.285928923637</v>
      </c>
      <c r="S39" s="139">
        <f t="shared" si="1"/>
        <v>6.163492162483802E-3</v>
      </c>
      <c r="T39" s="139">
        <f t="shared" si="2"/>
        <v>6.163492162483802E-3</v>
      </c>
      <c r="V39" s="4">
        <v>2018</v>
      </c>
      <c r="W39" s="7">
        <f>SUM(E98:E109)</f>
        <v>106666687.58000003</v>
      </c>
      <c r="X39" s="139">
        <f t="shared" si="5"/>
        <v>-4.2573072412184212E-3</v>
      </c>
      <c r="Y39" s="7">
        <f>SUM(Q98:Q109)</f>
        <v>106776885.49057762</v>
      </c>
      <c r="Z39" s="17">
        <f t="shared" si="4"/>
        <v>1.0331052091117649E-3</v>
      </c>
    </row>
    <row r="40" spans="1:26" ht="14.5">
      <c r="A40" s="2">
        <v>2013</v>
      </c>
      <c r="B40" s="2" t="s">
        <v>4</v>
      </c>
      <c r="C40" s="7">
        <v>9813648.6333333347</v>
      </c>
      <c r="D40" s="7">
        <v>15409.699999999999</v>
      </c>
      <c r="E40" s="7">
        <v>9829058.333333334</v>
      </c>
      <c r="F40" s="7"/>
      <c r="G40" s="15">
        <v>649</v>
      </c>
      <c r="H40" s="15">
        <v>0</v>
      </c>
      <c r="I40" s="2">
        <v>31</v>
      </c>
      <c r="J40" s="7">
        <v>683.6</v>
      </c>
      <c r="K40" s="7">
        <v>192856.29334189062</v>
      </c>
      <c r="L40" s="7">
        <v>4392825.450348001</v>
      </c>
      <c r="M40" s="7"/>
      <c r="N40" s="135"/>
      <c r="O40" s="7"/>
      <c r="Q40" s="7">
        <f t="shared" si="3"/>
        <v>9774960.0870960299</v>
      </c>
      <c r="R40" s="7">
        <f t="shared" si="0"/>
        <v>-54098.246237304062</v>
      </c>
      <c r="S40" s="139">
        <f t="shared" si="1"/>
        <v>-5.5039093677814906E-3</v>
      </c>
      <c r="T40" s="139">
        <f t="shared" si="2"/>
        <v>5.5039093677814906E-3</v>
      </c>
      <c r="V40" s="4">
        <v>2019</v>
      </c>
      <c r="W40" s="7">
        <f>SUM(E110:E121)</f>
        <v>104914586.14000002</v>
      </c>
      <c r="X40" s="139">
        <f t="shared" si="5"/>
        <v>-1.6425947779487728E-2</v>
      </c>
      <c r="Y40" s="7">
        <f>SUM(Q110:Q121)</f>
        <v>104736950.59277588</v>
      </c>
      <c r="Z40" s="17">
        <f t="shared" si="4"/>
        <v>1.693144430719042E-3</v>
      </c>
    </row>
    <row r="41" spans="1:26" ht="14.5">
      <c r="A41" s="2">
        <v>2013</v>
      </c>
      <c r="B41" s="2" t="s">
        <v>5</v>
      </c>
      <c r="C41" s="7">
        <v>9183566.2666666675</v>
      </c>
      <c r="D41" s="7">
        <v>23775.4</v>
      </c>
      <c r="E41" s="7">
        <v>9207341.6666666679</v>
      </c>
      <c r="F41" s="7"/>
      <c r="G41" s="15">
        <v>414.2</v>
      </c>
      <c r="H41" s="15">
        <v>0</v>
      </c>
      <c r="I41" s="2">
        <v>30</v>
      </c>
      <c r="J41" s="7">
        <v>685.4</v>
      </c>
      <c r="K41" s="7">
        <v>194635.59199626831</v>
      </c>
      <c r="L41" s="7">
        <v>4685486.2900200011</v>
      </c>
      <c r="M41" s="7"/>
      <c r="N41" s="135"/>
      <c r="O41" s="7"/>
      <c r="Q41" s="7">
        <f t="shared" si="3"/>
        <v>9306285.2690228969</v>
      </c>
      <c r="R41" s="7">
        <f t="shared" si="0"/>
        <v>98943.602356228977</v>
      </c>
      <c r="S41" s="139">
        <f t="shared" si="1"/>
        <v>1.0746163869907687E-2</v>
      </c>
      <c r="T41" s="139">
        <f t="shared" si="2"/>
        <v>1.0746163869907687E-2</v>
      </c>
      <c r="W41" s="221">
        <f>SUM(W31:W40)</f>
        <v>1079546801.3441427</v>
      </c>
      <c r="Y41" s="221">
        <f>SUM(Y31:Y40)</f>
        <v>1079546801.3441429</v>
      </c>
    </row>
    <row r="42" spans="1:26" ht="14.5">
      <c r="A42" s="2">
        <v>2013</v>
      </c>
      <c r="B42" s="2" t="s">
        <v>6</v>
      </c>
      <c r="C42" s="7">
        <v>8857473.3599999994</v>
      </c>
      <c r="D42" s="7">
        <v>33326.639999999999</v>
      </c>
      <c r="E42" s="7">
        <v>8890800</v>
      </c>
      <c r="F42" s="7"/>
      <c r="G42" s="15">
        <v>160.66666666666669</v>
      </c>
      <c r="H42" s="15">
        <v>18.7</v>
      </c>
      <c r="I42" s="2">
        <v>31</v>
      </c>
      <c r="J42" s="7">
        <v>690.3</v>
      </c>
      <c r="K42" s="7">
        <v>196414.890650646</v>
      </c>
      <c r="L42" s="7">
        <v>4795234.6969560003</v>
      </c>
      <c r="M42" s="7"/>
      <c r="N42" s="135"/>
      <c r="O42" s="7"/>
      <c r="Q42" s="7">
        <f t="shared" si="3"/>
        <v>9067495.8796050698</v>
      </c>
      <c r="R42" s="7">
        <f t="shared" si="0"/>
        <v>176695.87960506976</v>
      </c>
      <c r="S42" s="139">
        <f t="shared" si="1"/>
        <v>1.9874013542658674E-2</v>
      </c>
      <c r="T42" s="139">
        <f t="shared" si="2"/>
        <v>1.9874013542658674E-2</v>
      </c>
      <c r="Y42" s="140" t="s">
        <v>51</v>
      </c>
      <c r="Z42" s="222">
        <f>AVERAGE(Z31:Z40)</f>
        <v>2.0006071103869207E-3</v>
      </c>
    </row>
    <row r="43" spans="1:26" ht="14.5">
      <c r="A43" s="2">
        <v>2013</v>
      </c>
      <c r="B43" s="2" t="s">
        <v>7</v>
      </c>
      <c r="C43" s="7">
        <v>8508362.3833333347</v>
      </c>
      <c r="D43" s="7">
        <v>31145.950000000008</v>
      </c>
      <c r="E43" s="7">
        <v>8539508.333333334</v>
      </c>
      <c r="F43" s="7"/>
      <c r="G43" s="15">
        <v>67.399999999999991</v>
      </c>
      <c r="H43" s="15">
        <v>35.000000000000007</v>
      </c>
      <c r="I43" s="2">
        <v>30</v>
      </c>
      <c r="J43" s="7">
        <v>696.7</v>
      </c>
      <c r="K43" s="7">
        <v>198194.18930502373</v>
      </c>
      <c r="L43" s="7">
        <v>4516928.1643200004</v>
      </c>
      <c r="M43" s="7"/>
      <c r="N43" s="135"/>
      <c r="O43" s="7"/>
      <c r="Q43" s="7">
        <f t="shared" si="3"/>
        <v>8621502.7111284286</v>
      </c>
      <c r="R43" s="7">
        <f t="shared" si="0"/>
        <v>81994.377795094624</v>
      </c>
      <c r="S43" s="139">
        <f t="shared" si="1"/>
        <v>9.6017679934845522E-3</v>
      </c>
      <c r="T43" s="139">
        <f t="shared" si="2"/>
        <v>9.6017679934845522E-3</v>
      </c>
      <c r="Y43" s="140" t="s">
        <v>52</v>
      </c>
      <c r="Z43" s="222">
        <f>MEDIAN(Z31:Z40)</f>
        <v>1.7548238514176187E-3</v>
      </c>
    </row>
    <row r="44" spans="1:26" ht="14.5">
      <c r="A44" s="2">
        <v>2013</v>
      </c>
      <c r="B44" s="2" t="s">
        <v>8</v>
      </c>
      <c r="C44" s="7">
        <v>8783633.9766666684</v>
      </c>
      <c r="D44" s="7">
        <v>24907.69</v>
      </c>
      <c r="E44" s="7">
        <v>8808541.6666666679</v>
      </c>
      <c r="F44" s="7"/>
      <c r="G44" s="15">
        <v>19.599999999999998</v>
      </c>
      <c r="H44" s="15">
        <v>75.899999999999991</v>
      </c>
      <c r="I44" s="2">
        <v>31</v>
      </c>
      <c r="J44" s="7">
        <v>702.8</v>
      </c>
      <c r="K44" s="7">
        <v>199973.48795940142</v>
      </c>
      <c r="L44" s="7">
        <v>4372227.4551960006</v>
      </c>
      <c r="M44" s="7"/>
      <c r="N44" s="135"/>
      <c r="O44" s="7"/>
      <c r="Q44" s="7">
        <f t="shared" si="3"/>
        <v>8912820.3881779015</v>
      </c>
      <c r="R44" s="7">
        <f t="shared" si="0"/>
        <v>104278.7215112336</v>
      </c>
      <c r="S44" s="139">
        <f t="shared" si="1"/>
        <v>1.183836388103217E-2</v>
      </c>
      <c r="T44" s="139">
        <f t="shared" si="2"/>
        <v>1.183836388103217E-2</v>
      </c>
    </row>
    <row r="45" spans="1:26" ht="14.5">
      <c r="A45" s="2">
        <v>2013</v>
      </c>
      <c r="B45" s="2" t="s">
        <v>9</v>
      </c>
      <c r="C45" s="7">
        <v>8859770.6900000013</v>
      </c>
      <c r="D45" s="7">
        <v>30729.31</v>
      </c>
      <c r="E45" s="7">
        <v>8890500.0000000019</v>
      </c>
      <c r="F45" s="7"/>
      <c r="G45" s="15">
        <v>33.9</v>
      </c>
      <c r="H45" s="15">
        <v>34.5</v>
      </c>
      <c r="I45" s="2">
        <v>31</v>
      </c>
      <c r="J45" s="7">
        <v>701.4</v>
      </c>
      <c r="K45" s="7">
        <v>201752.78661377911</v>
      </c>
      <c r="L45" s="7">
        <v>4771016.3547840007</v>
      </c>
      <c r="M45" s="7"/>
      <c r="N45" s="135"/>
      <c r="O45" s="7"/>
      <c r="Q45" s="7">
        <f t="shared" si="3"/>
        <v>8888386.3848274536</v>
      </c>
      <c r="R45" s="7">
        <f t="shared" si="0"/>
        <v>-2113.6151725482196</v>
      </c>
      <c r="S45" s="139">
        <f t="shared" si="1"/>
        <v>-2.3773861678738194E-4</v>
      </c>
      <c r="T45" s="139">
        <f t="shared" si="2"/>
        <v>2.3773861678738194E-4</v>
      </c>
      <c r="V45" s="137" t="s">
        <v>0</v>
      </c>
      <c r="W45" s="137" t="s">
        <v>49</v>
      </c>
      <c r="X45" s="137" t="s">
        <v>53</v>
      </c>
      <c r="Y45" s="137" t="s">
        <v>50</v>
      </c>
      <c r="Z45" s="138" t="s">
        <v>67</v>
      </c>
    </row>
    <row r="46" spans="1:26" ht="14.5">
      <c r="A46" s="2">
        <v>2013</v>
      </c>
      <c r="B46" s="2" t="s">
        <v>10</v>
      </c>
      <c r="C46" s="7">
        <v>8499523.1166666653</v>
      </c>
      <c r="D46" s="7">
        <v>25518.55</v>
      </c>
      <c r="E46" s="7">
        <v>8525041.666666666</v>
      </c>
      <c r="F46" s="7"/>
      <c r="G46" s="15">
        <v>133.1</v>
      </c>
      <c r="H46" s="15">
        <v>17.2</v>
      </c>
      <c r="I46" s="2">
        <v>30</v>
      </c>
      <c r="J46" s="7">
        <v>698.4</v>
      </c>
      <c r="K46" s="7">
        <v>203532.08526815681</v>
      </c>
      <c r="L46" s="7">
        <v>4513364.5799520016</v>
      </c>
      <c r="M46" s="7"/>
      <c r="N46" s="135"/>
      <c r="O46" s="7"/>
      <c r="Q46" s="7">
        <f t="shared" si="3"/>
        <v>8604790.0285851192</v>
      </c>
      <c r="R46" s="7">
        <f t="shared" si="0"/>
        <v>79748.361918453127</v>
      </c>
      <c r="S46" s="139">
        <f t="shared" si="1"/>
        <v>9.3546008379376214E-3</v>
      </c>
      <c r="T46" s="139">
        <f t="shared" si="2"/>
        <v>9.3546008379376214E-3</v>
      </c>
      <c r="V46" s="4">
        <v>2020</v>
      </c>
      <c r="Y46" s="7">
        <f>SUM(Q122:Q133)</f>
        <v>105778071.31952573</v>
      </c>
      <c r="Z46" s="139">
        <f>(Y46-W40)/W40</f>
        <v>8.2303634918167341E-3</v>
      </c>
    </row>
    <row r="47" spans="1:26" ht="14.5">
      <c r="A47" s="2">
        <v>2013</v>
      </c>
      <c r="B47" s="2" t="s">
        <v>11</v>
      </c>
      <c r="C47" s="7">
        <v>9283300.746666668</v>
      </c>
      <c r="D47" s="7">
        <v>17140.919999999998</v>
      </c>
      <c r="E47" s="7">
        <v>9300441.6666666679</v>
      </c>
      <c r="F47" s="7"/>
      <c r="G47" s="15">
        <v>270.68888888888893</v>
      </c>
      <c r="H47" s="15">
        <v>0</v>
      </c>
      <c r="I47" s="2">
        <v>31</v>
      </c>
      <c r="J47" s="7">
        <v>698.4</v>
      </c>
      <c r="K47" s="7">
        <v>205311.38392253453</v>
      </c>
      <c r="L47" s="7">
        <v>4880786.5687800003</v>
      </c>
      <c r="M47" s="7"/>
      <c r="N47" s="135"/>
      <c r="O47" s="7"/>
      <c r="Q47" s="7">
        <f t="shared" si="3"/>
        <v>9244192.4763490893</v>
      </c>
      <c r="R47" s="7">
        <f t="shared" si="0"/>
        <v>-56249.190317578614</v>
      </c>
      <c r="S47" s="139">
        <f t="shared" si="1"/>
        <v>-6.048012807733533E-3</v>
      </c>
      <c r="T47" s="139">
        <f t="shared" si="2"/>
        <v>6.048012807733533E-3</v>
      </c>
      <c r="V47" s="4">
        <v>2021</v>
      </c>
      <c r="Y47" s="7">
        <f>SUM(Q134:Q145)</f>
        <v>106551294.08787435</v>
      </c>
      <c r="Z47" s="139">
        <f>(Y47-Y46)/Y46</f>
        <v>7.3098588270997245E-3</v>
      </c>
    </row>
    <row r="48" spans="1:26" ht="14.5">
      <c r="A48" s="2">
        <v>2013</v>
      </c>
      <c r="B48" s="2" t="s">
        <v>12</v>
      </c>
      <c r="C48" s="7">
        <v>9550087.7666666675</v>
      </c>
      <c r="D48" s="7">
        <v>8803.9</v>
      </c>
      <c r="E48" s="7">
        <v>9558891.6666666679</v>
      </c>
      <c r="F48" s="7"/>
      <c r="G48" s="15">
        <v>557.36666666666667</v>
      </c>
      <c r="H48" s="15">
        <v>0</v>
      </c>
      <c r="I48" s="2">
        <v>30</v>
      </c>
      <c r="J48" s="7">
        <v>700</v>
      </c>
      <c r="K48" s="7">
        <v>207090.68257691222</v>
      </c>
      <c r="L48" s="7">
        <v>4552412.9659799999</v>
      </c>
      <c r="M48" s="7"/>
      <c r="N48" s="135"/>
      <c r="O48" s="7"/>
      <c r="Q48" s="7">
        <f t="shared" si="3"/>
        <v>9566470.436063379</v>
      </c>
      <c r="R48" s="7">
        <f t="shared" si="0"/>
        <v>7578.7693967111409</v>
      </c>
      <c r="S48" s="139">
        <f t="shared" si="1"/>
        <v>7.9285022374921154E-4</v>
      </c>
      <c r="T48" s="139">
        <f t="shared" si="2"/>
        <v>7.9285022374921154E-4</v>
      </c>
    </row>
    <row r="49" spans="1:30" ht="14.5">
      <c r="A49" s="2">
        <v>2013</v>
      </c>
      <c r="B49" s="2" t="s">
        <v>13</v>
      </c>
      <c r="C49" s="7">
        <v>9797816.666666666</v>
      </c>
      <c r="D49" s="7">
        <v>2246.8199999999997</v>
      </c>
      <c r="E49" s="7">
        <v>9800063.4866666663</v>
      </c>
      <c r="F49" s="7"/>
      <c r="G49" s="15">
        <v>767.19999999999993</v>
      </c>
      <c r="H49" s="15">
        <v>0</v>
      </c>
      <c r="I49" s="2">
        <v>31</v>
      </c>
      <c r="J49" s="7">
        <v>695.4</v>
      </c>
      <c r="K49" s="7">
        <v>208869.98123128992</v>
      </c>
      <c r="L49" s="7">
        <v>4004842.5651600002</v>
      </c>
      <c r="M49" s="7"/>
      <c r="N49" s="135"/>
      <c r="O49" s="7"/>
      <c r="Q49" s="7">
        <f t="shared" si="3"/>
        <v>9729225.7746134475</v>
      </c>
      <c r="R49" s="7">
        <f t="shared" si="0"/>
        <v>-70837.712053218856</v>
      </c>
      <c r="S49" s="139">
        <f t="shared" si="1"/>
        <v>-7.2282911380723274E-3</v>
      </c>
      <c r="T49" s="139">
        <f t="shared" si="2"/>
        <v>7.2282911380723274E-3</v>
      </c>
    </row>
    <row r="50" spans="1:30">
      <c r="A50" s="134">
        <v>2014</v>
      </c>
      <c r="B50" s="134" t="s">
        <v>2</v>
      </c>
      <c r="C50" s="7">
        <v>10797258.333333334</v>
      </c>
      <c r="D50" s="7">
        <v>2439.25</v>
      </c>
      <c r="E50" s="7">
        <v>10799697.583333334</v>
      </c>
      <c r="F50" s="7"/>
      <c r="G50" s="15">
        <v>899.69999999999982</v>
      </c>
      <c r="H50" s="15">
        <v>0</v>
      </c>
      <c r="I50" s="2">
        <v>31</v>
      </c>
      <c r="J50" s="7">
        <v>689.4</v>
      </c>
      <c r="K50" s="7">
        <v>211077.46510458333</v>
      </c>
      <c r="L50" s="7">
        <v>4667489.5395720005</v>
      </c>
      <c r="M50" s="7"/>
      <c r="N50" s="135"/>
      <c r="O50" s="7"/>
      <c r="Q50" s="7">
        <f t="shared" si="3"/>
        <v>10660747.711474806</v>
      </c>
      <c r="R50" s="7">
        <f t="shared" si="0"/>
        <v>-138949.87185852788</v>
      </c>
      <c r="S50" s="139">
        <f t="shared" si="1"/>
        <v>-1.2866089146140786E-2</v>
      </c>
      <c r="T50" s="139">
        <f t="shared" si="2"/>
        <v>1.2866089146140786E-2</v>
      </c>
      <c r="V50" s="132"/>
      <c r="W50" s="132"/>
      <c r="X50" s="132"/>
      <c r="Y50" s="132"/>
      <c r="Z50" s="132"/>
      <c r="AA50" s="132"/>
      <c r="AB50" s="132"/>
      <c r="AC50" s="132"/>
      <c r="AD50" s="132"/>
    </row>
    <row r="51" spans="1:30">
      <c r="A51" s="2">
        <v>2014</v>
      </c>
      <c r="B51" s="2" t="s">
        <v>3</v>
      </c>
      <c r="C51" s="7">
        <v>9707875.0000000019</v>
      </c>
      <c r="D51" s="7">
        <v>2991.88</v>
      </c>
      <c r="E51" s="7">
        <v>9710866.8800000027</v>
      </c>
      <c r="F51" s="7"/>
      <c r="G51" s="15">
        <v>820.9666666666667</v>
      </c>
      <c r="H51" s="15">
        <v>0</v>
      </c>
      <c r="I51" s="2">
        <v>28</v>
      </c>
      <c r="J51" s="7">
        <v>682.3</v>
      </c>
      <c r="K51" s="7">
        <v>213284.94897787675</v>
      </c>
      <c r="L51" s="7">
        <v>4342400.5729440004</v>
      </c>
      <c r="M51" s="7"/>
      <c r="N51" s="135"/>
      <c r="O51" s="7"/>
      <c r="Q51" s="7">
        <f t="shared" si="3"/>
        <v>9770753.7481270451</v>
      </c>
      <c r="R51" s="7">
        <f t="shared" si="0"/>
        <v>59886.868127042428</v>
      </c>
      <c r="S51" s="139">
        <f t="shared" si="1"/>
        <v>6.1669950651246502E-3</v>
      </c>
      <c r="T51" s="139">
        <f t="shared" si="2"/>
        <v>6.1669950651246502E-3</v>
      </c>
      <c r="V51" s="132"/>
      <c r="W51" s="132"/>
      <c r="X51" s="132"/>
      <c r="Y51" s="7"/>
      <c r="Z51" s="133"/>
      <c r="AA51" s="132"/>
      <c r="AB51" s="132"/>
      <c r="AC51" s="132"/>
      <c r="AD51" s="132"/>
    </row>
    <row r="52" spans="1:30">
      <c r="A52" s="2">
        <v>2014</v>
      </c>
      <c r="B52" s="2" t="s">
        <v>4</v>
      </c>
      <c r="C52" s="7">
        <v>10383525</v>
      </c>
      <c r="D52" s="7">
        <v>13924.2</v>
      </c>
      <c r="E52" s="7">
        <v>10397449.199999999</v>
      </c>
      <c r="F52" s="7"/>
      <c r="G52" s="15">
        <v>767.15555555555545</v>
      </c>
      <c r="H52" s="15">
        <v>0</v>
      </c>
      <c r="I52" s="2">
        <v>31</v>
      </c>
      <c r="J52" s="7">
        <v>680.2</v>
      </c>
      <c r="K52" s="7">
        <v>215492.43285117013</v>
      </c>
      <c r="L52" s="7">
        <v>4788788.5728840008</v>
      </c>
      <c r="M52" s="7"/>
      <c r="N52" s="135"/>
      <c r="O52" s="7"/>
      <c r="Q52" s="7">
        <f t="shared" si="3"/>
        <v>10404039.92658451</v>
      </c>
      <c r="R52" s="7">
        <f t="shared" si="0"/>
        <v>6590.7265845108777</v>
      </c>
      <c r="S52" s="139">
        <f t="shared" si="1"/>
        <v>6.3387918110827395E-4</v>
      </c>
      <c r="T52" s="139">
        <f t="shared" si="2"/>
        <v>6.3387918110827395E-4</v>
      </c>
      <c r="V52" s="132"/>
      <c r="W52" s="132"/>
      <c r="X52" s="132"/>
      <c r="Y52" s="7"/>
      <c r="Z52" s="133"/>
      <c r="AA52" s="132"/>
      <c r="AB52" s="132"/>
      <c r="AC52" s="132"/>
      <c r="AD52" s="132"/>
    </row>
    <row r="53" spans="1:30">
      <c r="A53" s="2">
        <v>2014</v>
      </c>
      <c r="B53" s="2" t="s">
        <v>5</v>
      </c>
      <c r="C53" s="7">
        <v>9160908.333333334</v>
      </c>
      <c r="D53" s="7">
        <v>25104.21</v>
      </c>
      <c r="E53" s="7">
        <v>9186012.5433333348</v>
      </c>
      <c r="F53" s="7"/>
      <c r="G53" s="15">
        <v>423.06666666666666</v>
      </c>
      <c r="H53" s="15">
        <v>0</v>
      </c>
      <c r="I53" s="2">
        <v>30</v>
      </c>
      <c r="J53" s="7">
        <v>679.4</v>
      </c>
      <c r="K53" s="7">
        <v>217699.91672446355</v>
      </c>
      <c r="L53" s="7">
        <v>4624196.0958720008</v>
      </c>
      <c r="M53" s="7"/>
      <c r="N53" s="135"/>
      <c r="O53" s="7"/>
      <c r="Q53" s="7">
        <f t="shared" si="3"/>
        <v>9231509.4025355726</v>
      </c>
      <c r="R53" s="7">
        <f t="shared" si="0"/>
        <v>45496.8592022378</v>
      </c>
      <c r="S53" s="139">
        <f t="shared" si="1"/>
        <v>4.9528409620185785E-3</v>
      </c>
      <c r="T53" s="139">
        <f t="shared" si="2"/>
        <v>4.9528409620185785E-3</v>
      </c>
      <c r="V53" s="132"/>
      <c r="W53" s="132"/>
      <c r="X53" s="132"/>
      <c r="Y53" s="132"/>
      <c r="Z53" s="132"/>
      <c r="AA53" s="132"/>
      <c r="AB53" s="132"/>
      <c r="AC53" s="132"/>
      <c r="AD53" s="132"/>
    </row>
    <row r="54" spans="1:30">
      <c r="A54" s="2">
        <v>2014</v>
      </c>
      <c r="B54" s="2" t="s">
        <v>6</v>
      </c>
      <c r="C54" s="7">
        <v>8981769.2307692301</v>
      </c>
      <c r="D54" s="7">
        <v>32010.48</v>
      </c>
      <c r="E54" s="7">
        <v>9013779.7107692305</v>
      </c>
      <c r="F54" s="7"/>
      <c r="G54" s="15">
        <v>185.6</v>
      </c>
      <c r="H54" s="15">
        <v>7.6000000000000005</v>
      </c>
      <c r="I54" s="2">
        <v>31</v>
      </c>
      <c r="J54" s="7">
        <v>690</v>
      </c>
      <c r="K54" s="7">
        <v>219907.40059775696</v>
      </c>
      <c r="L54" s="7">
        <v>4967134.5322440006</v>
      </c>
      <c r="M54" s="7"/>
      <c r="N54" s="135"/>
      <c r="O54" s="7"/>
      <c r="Q54" s="7">
        <f t="shared" si="3"/>
        <v>9143367.2100142613</v>
      </c>
      <c r="R54" s="7">
        <f t="shared" si="0"/>
        <v>129587.49924503081</v>
      </c>
      <c r="S54" s="139">
        <f t="shared" si="1"/>
        <v>1.4376599318286633E-2</v>
      </c>
      <c r="T54" s="139">
        <f t="shared" si="2"/>
        <v>1.4376599318286633E-2</v>
      </c>
      <c r="V54" s="132"/>
      <c r="W54" s="132"/>
      <c r="X54" s="132"/>
      <c r="Y54" s="132"/>
      <c r="Z54" s="132"/>
      <c r="AA54" s="132"/>
      <c r="AB54" s="132"/>
      <c r="AC54" s="132"/>
      <c r="AD54" s="132"/>
    </row>
    <row r="55" spans="1:30">
      <c r="A55" s="2">
        <v>2014</v>
      </c>
      <c r="B55" s="2" t="s">
        <v>7</v>
      </c>
      <c r="C55" s="7">
        <v>8511153.846153846</v>
      </c>
      <c r="D55" s="7">
        <v>48616.92</v>
      </c>
      <c r="E55" s="7">
        <v>8559770.7661538459</v>
      </c>
      <c r="F55" s="7"/>
      <c r="G55" s="15">
        <v>35.999999999999993</v>
      </c>
      <c r="H55" s="15">
        <v>44</v>
      </c>
      <c r="I55" s="2">
        <v>30</v>
      </c>
      <c r="J55" s="7">
        <v>704.4</v>
      </c>
      <c r="K55" s="7">
        <v>222114.88447105035</v>
      </c>
      <c r="L55" s="7">
        <v>4578201.0414120005</v>
      </c>
      <c r="M55" s="7"/>
      <c r="N55" s="135"/>
      <c r="O55" s="7"/>
      <c r="Q55" s="7">
        <f t="shared" si="3"/>
        <v>8667489.4333164692</v>
      </c>
      <c r="R55" s="7">
        <f t="shared" si="0"/>
        <v>107718.66716262326</v>
      </c>
      <c r="S55" s="139">
        <f t="shared" si="1"/>
        <v>1.2584293447267676E-2</v>
      </c>
      <c r="T55" s="139">
        <f t="shared" si="2"/>
        <v>1.2584293447267676E-2</v>
      </c>
      <c r="V55" s="132"/>
      <c r="W55" s="132"/>
      <c r="X55" s="132"/>
      <c r="Y55" s="132"/>
      <c r="Z55" s="132"/>
      <c r="AA55" s="132"/>
      <c r="AB55" s="132"/>
      <c r="AC55" s="132"/>
      <c r="AD55" s="132"/>
    </row>
    <row r="56" spans="1:30">
      <c r="A56" s="2">
        <v>2014</v>
      </c>
      <c r="B56" s="2" t="s">
        <v>8</v>
      </c>
      <c r="C56" s="7">
        <v>8491076.9230769239</v>
      </c>
      <c r="D56" s="7">
        <v>52243.009999999995</v>
      </c>
      <c r="E56" s="7">
        <v>8543319.9330769237</v>
      </c>
      <c r="F56" s="7"/>
      <c r="G56" s="15">
        <v>59.100000000000009</v>
      </c>
      <c r="H56" s="15">
        <v>25.700000000000003</v>
      </c>
      <c r="I56" s="2">
        <v>31</v>
      </c>
      <c r="J56" s="7">
        <v>715.1</v>
      </c>
      <c r="K56" s="7">
        <v>224322.36834434376</v>
      </c>
      <c r="L56" s="7">
        <v>4518532.7781600012</v>
      </c>
      <c r="M56" s="7"/>
      <c r="N56" s="135"/>
      <c r="O56" s="7"/>
      <c r="Q56" s="7">
        <f t="shared" si="3"/>
        <v>8629470.9785340913</v>
      </c>
      <c r="R56" s="7">
        <f t="shared" si="0"/>
        <v>86151.045457167551</v>
      </c>
      <c r="S56" s="139">
        <f t="shared" si="1"/>
        <v>1.0084024258955708E-2</v>
      </c>
      <c r="T56" s="139">
        <f t="shared" si="2"/>
        <v>1.0084024258955708E-2</v>
      </c>
      <c r="V56" s="132"/>
      <c r="W56" s="132"/>
      <c r="X56" s="132"/>
      <c r="Y56" s="132"/>
      <c r="Z56" s="132"/>
      <c r="AA56" s="132"/>
      <c r="AB56" s="132"/>
      <c r="AC56" s="132"/>
      <c r="AD56" s="132"/>
    </row>
    <row r="57" spans="1:30">
      <c r="A57" s="2">
        <v>2014</v>
      </c>
      <c r="B57" s="2" t="s">
        <v>9</v>
      </c>
      <c r="C57" s="7">
        <v>8875484.615384616</v>
      </c>
      <c r="D57" s="7">
        <v>46971.21</v>
      </c>
      <c r="E57" s="7">
        <v>8922455.8253846169</v>
      </c>
      <c r="F57" s="7"/>
      <c r="G57" s="15">
        <v>40.5</v>
      </c>
      <c r="H57" s="15">
        <v>32.400000000000006</v>
      </c>
      <c r="I57" s="2">
        <v>31</v>
      </c>
      <c r="J57" s="7">
        <v>718.7</v>
      </c>
      <c r="K57" s="7">
        <v>226529.85221763718</v>
      </c>
      <c r="L57" s="7">
        <v>4873161.1167599997</v>
      </c>
      <c r="M57" s="7"/>
      <c r="N57" s="135"/>
      <c r="O57" s="7"/>
      <c r="Q57" s="7">
        <f t="shared" si="3"/>
        <v>8973920.0928509794</v>
      </c>
      <c r="R57" s="7">
        <f t="shared" si="0"/>
        <v>51464.267466362566</v>
      </c>
      <c r="S57" s="139">
        <f t="shared" si="1"/>
        <v>5.7679486986021719E-3</v>
      </c>
      <c r="T57" s="139">
        <f t="shared" si="2"/>
        <v>5.7679486986021719E-3</v>
      </c>
      <c r="V57" s="132"/>
      <c r="W57" s="132"/>
      <c r="X57" s="132"/>
      <c r="Y57" s="132"/>
      <c r="Z57" s="132"/>
      <c r="AA57" s="132"/>
      <c r="AB57" s="132"/>
      <c r="AC57" s="132"/>
      <c r="AD57" s="132"/>
    </row>
    <row r="58" spans="1:30">
      <c r="A58" s="2">
        <v>2014</v>
      </c>
      <c r="B58" s="2" t="s">
        <v>10</v>
      </c>
      <c r="C58" s="7">
        <v>8841092.307692308</v>
      </c>
      <c r="D58" s="7">
        <v>39980.21</v>
      </c>
      <c r="E58" s="7">
        <v>8881072.5176923089</v>
      </c>
      <c r="F58" s="7"/>
      <c r="G58" s="15">
        <v>117.19999999999999</v>
      </c>
      <c r="H58" s="15">
        <v>12.399999999999999</v>
      </c>
      <c r="I58" s="2">
        <v>30</v>
      </c>
      <c r="J58" s="7">
        <v>719.3</v>
      </c>
      <c r="K58" s="7">
        <v>228737.33609093056</v>
      </c>
      <c r="L58" s="7">
        <v>4845022.72248</v>
      </c>
      <c r="M58" s="7"/>
      <c r="N58" s="135"/>
      <c r="O58" s="7"/>
      <c r="Q58" s="7">
        <f t="shared" si="3"/>
        <v>8818598.368416341</v>
      </c>
      <c r="R58" s="7">
        <f t="shared" si="0"/>
        <v>-62474.149275967851</v>
      </c>
      <c r="S58" s="139">
        <f t="shared" si="1"/>
        <v>-7.0345275473779568E-3</v>
      </c>
      <c r="T58" s="139">
        <f t="shared" si="2"/>
        <v>7.0345275473779568E-3</v>
      </c>
      <c r="V58" s="132"/>
      <c r="W58" s="132"/>
      <c r="X58" s="132"/>
      <c r="Y58" s="132"/>
      <c r="Z58" s="132"/>
      <c r="AA58" s="132"/>
      <c r="AB58" s="132"/>
      <c r="AC58" s="132"/>
      <c r="AD58" s="132"/>
    </row>
    <row r="59" spans="1:30">
      <c r="A59" s="2">
        <v>2014</v>
      </c>
      <c r="B59" s="2" t="s">
        <v>11</v>
      </c>
      <c r="C59" s="7">
        <v>9370961.538461538</v>
      </c>
      <c r="D59" s="7">
        <v>20845.66</v>
      </c>
      <c r="E59" s="7">
        <v>9391807.1984615382</v>
      </c>
      <c r="F59" s="7"/>
      <c r="G59" s="15">
        <v>292.40000000000003</v>
      </c>
      <c r="H59" s="15">
        <v>0</v>
      </c>
      <c r="I59" s="2">
        <v>31</v>
      </c>
      <c r="J59" s="7">
        <v>723.5</v>
      </c>
      <c r="K59" s="7">
        <v>230944.81996422398</v>
      </c>
      <c r="L59" s="7">
        <v>4964576.7409200007</v>
      </c>
      <c r="M59" s="7"/>
      <c r="N59" s="135"/>
      <c r="O59" s="7"/>
      <c r="Q59" s="7">
        <f t="shared" si="3"/>
        <v>9386281.2526134774</v>
      </c>
      <c r="R59" s="7">
        <f t="shared" si="0"/>
        <v>-5525.9458480607718</v>
      </c>
      <c r="S59" s="139">
        <f t="shared" si="1"/>
        <v>-5.8837939613645078E-4</v>
      </c>
      <c r="T59" s="139">
        <f t="shared" si="2"/>
        <v>5.8837939613645078E-4</v>
      </c>
      <c r="V59" s="132"/>
      <c r="W59" s="132"/>
      <c r="X59" s="132"/>
      <c r="Y59" s="132"/>
      <c r="Z59" s="132"/>
      <c r="AA59" s="132"/>
      <c r="AB59" s="132"/>
      <c r="AC59" s="132"/>
      <c r="AD59" s="132"/>
    </row>
    <row r="60" spans="1:30">
      <c r="A60" s="2">
        <v>2014</v>
      </c>
      <c r="B60" s="2" t="s">
        <v>12</v>
      </c>
      <c r="C60" s="7">
        <v>9361692.307692308</v>
      </c>
      <c r="D60" s="7">
        <v>7638.39</v>
      </c>
      <c r="E60" s="7">
        <v>9369330.6976923086</v>
      </c>
      <c r="F60" s="7"/>
      <c r="G60" s="15">
        <v>548.06666666666661</v>
      </c>
      <c r="H60" s="15">
        <v>0</v>
      </c>
      <c r="I60" s="2">
        <v>30</v>
      </c>
      <c r="J60" s="7">
        <v>721</v>
      </c>
      <c r="K60" s="7">
        <v>233152.30383751736</v>
      </c>
      <c r="L60" s="7">
        <v>4377795.0494400002</v>
      </c>
      <c r="M60" s="7"/>
      <c r="N60" s="135"/>
      <c r="O60" s="7"/>
      <c r="Q60" s="7">
        <f t="shared" si="3"/>
        <v>9385727.3239282686</v>
      </c>
      <c r="R60" s="7">
        <f t="shared" si="0"/>
        <v>16396.626235960051</v>
      </c>
      <c r="S60" s="139">
        <f t="shared" si="1"/>
        <v>1.7500317541357126E-3</v>
      </c>
      <c r="T60" s="139">
        <f t="shared" si="2"/>
        <v>1.7500317541357126E-3</v>
      </c>
      <c r="V60" s="132"/>
      <c r="W60" s="132"/>
      <c r="X60" s="132"/>
      <c r="Y60" s="132"/>
      <c r="Z60" s="132"/>
      <c r="AA60" s="132"/>
      <c r="AB60" s="132"/>
      <c r="AC60" s="132"/>
      <c r="AD60" s="132"/>
    </row>
    <row r="61" spans="1:30">
      <c r="A61" s="2">
        <v>2014</v>
      </c>
      <c r="B61" s="2" t="s">
        <v>13</v>
      </c>
      <c r="C61" s="7">
        <v>9419200</v>
      </c>
      <c r="D61" s="7">
        <v>8281.8599999999988</v>
      </c>
      <c r="E61" s="7">
        <v>9427481.8599999994</v>
      </c>
      <c r="F61" s="7"/>
      <c r="G61" s="15">
        <v>623.73333333333346</v>
      </c>
      <c r="H61" s="15">
        <v>0</v>
      </c>
      <c r="I61" s="2">
        <v>31</v>
      </c>
      <c r="J61" s="7">
        <v>714.3</v>
      </c>
      <c r="K61" s="7">
        <v>235359.78771081078</v>
      </c>
      <c r="L61" s="7">
        <v>3953464.1673599998</v>
      </c>
      <c r="M61" s="7"/>
      <c r="N61" s="135"/>
      <c r="O61" s="7"/>
      <c r="Q61" s="7">
        <f t="shared" si="3"/>
        <v>9307421.844115207</v>
      </c>
      <c r="R61" s="7">
        <f t="shared" si="0"/>
        <v>-120060.01588479243</v>
      </c>
      <c r="S61" s="139">
        <f t="shared" si="1"/>
        <v>-1.273510972152562E-2</v>
      </c>
      <c r="T61" s="139">
        <f t="shared" si="2"/>
        <v>1.273510972152562E-2</v>
      </c>
      <c r="V61" s="132"/>
      <c r="W61" s="132"/>
      <c r="X61" s="132"/>
      <c r="Y61" s="132"/>
      <c r="Z61" s="132"/>
      <c r="AA61" s="132"/>
      <c r="AB61" s="132"/>
      <c r="AC61" s="132"/>
      <c r="AD61" s="132"/>
    </row>
    <row r="62" spans="1:30">
      <c r="A62" s="134">
        <v>2015</v>
      </c>
      <c r="B62" s="134" t="s">
        <v>2</v>
      </c>
      <c r="C62" s="7">
        <v>10452784.615384616</v>
      </c>
      <c r="D62" s="7">
        <v>7604.7199999999993</v>
      </c>
      <c r="E62" s="7">
        <v>10460389.335384617</v>
      </c>
      <c r="F62" s="7"/>
      <c r="G62" s="15">
        <v>871.19999999999993</v>
      </c>
      <c r="H62" s="15">
        <v>0</v>
      </c>
      <c r="I62" s="2">
        <v>31</v>
      </c>
      <c r="J62" s="7">
        <v>705.7</v>
      </c>
      <c r="K62" s="7">
        <v>239321.94152366903</v>
      </c>
      <c r="L62" s="7">
        <v>4513683.0380400009</v>
      </c>
      <c r="M62" s="7"/>
      <c r="N62" s="135"/>
      <c r="O62" s="7"/>
      <c r="Q62" s="7">
        <f t="shared" si="3"/>
        <v>10437648.095230889</v>
      </c>
      <c r="R62" s="7">
        <f t="shared" si="0"/>
        <v>-22741.240153728053</v>
      </c>
      <c r="S62" s="139">
        <f t="shared" si="1"/>
        <v>-2.1740338169632654E-3</v>
      </c>
      <c r="T62" s="139">
        <f t="shared" si="2"/>
        <v>2.1740338169632654E-3</v>
      </c>
      <c r="V62" s="132"/>
      <c r="W62" s="132"/>
      <c r="X62" s="132"/>
      <c r="Y62" s="132"/>
      <c r="Z62" s="132"/>
      <c r="AA62" s="132"/>
      <c r="AB62" s="132"/>
      <c r="AC62" s="132"/>
      <c r="AD62" s="132"/>
    </row>
    <row r="63" spans="1:30">
      <c r="A63" s="2">
        <v>2015</v>
      </c>
      <c r="B63" s="2" t="s">
        <v>3</v>
      </c>
      <c r="C63" s="7">
        <v>9960700</v>
      </c>
      <c r="D63" s="7">
        <v>6503.2999999999993</v>
      </c>
      <c r="E63" s="7">
        <v>9967203.3000000007</v>
      </c>
      <c r="F63" s="7"/>
      <c r="G63" s="15">
        <v>928.1</v>
      </c>
      <c r="H63" s="15">
        <v>0</v>
      </c>
      <c r="I63" s="2">
        <v>28</v>
      </c>
      <c r="J63" s="7">
        <v>700.1</v>
      </c>
      <c r="K63" s="7">
        <v>243284.09533652724</v>
      </c>
      <c r="L63" s="7">
        <v>4307574.8160000006</v>
      </c>
      <c r="M63" s="7"/>
      <c r="N63" s="135"/>
      <c r="O63" s="7"/>
      <c r="Q63" s="7">
        <f t="shared" si="3"/>
        <v>10008174.389799507</v>
      </c>
      <c r="R63" s="7">
        <f t="shared" si="0"/>
        <v>40971.08979950659</v>
      </c>
      <c r="S63" s="139">
        <f t="shared" si="1"/>
        <v>4.1105903598361027E-3</v>
      </c>
      <c r="T63" s="139">
        <f t="shared" si="2"/>
        <v>4.1105903598361027E-3</v>
      </c>
      <c r="V63" s="132"/>
      <c r="W63" s="132"/>
      <c r="X63" s="132"/>
      <c r="Y63" s="132"/>
      <c r="Z63" s="132"/>
      <c r="AA63" s="132"/>
      <c r="AB63" s="132"/>
      <c r="AC63" s="132"/>
      <c r="AD63" s="132"/>
    </row>
    <row r="64" spans="1:30">
      <c r="A64" s="2">
        <v>2015</v>
      </c>
      <c r="B64" s="2" t="s">
        <v>4</v>
      </c>
      <c r="C64" s="7">
        <v>10261984.615384616</v>
      </c>
      <c r="D64" s="7">
        <v>37781.33</v>
      </c>
      <c r="E64" s="7">
        <v>10299765.945384616</v>
      </c>
      <c r="F64" s="7"/>
      <c r="G64" s="15">
        <v>701.5</v>
      </c>
      <c r="H64" s="15">
        <v>0</v>
      </c>
      <c r="I64" s="2">
        <v>31</v>
      </c>
      <c r="J64" s="7">
        <v>698.3</v>
      </c>
      <c r="K64" s="7">
        <v>247246.24914938549</v>
      </c>
      <c r="L64" s="7">
        <v>4884586.8374400008</v>
      </c>
      <c r="M64" s="7"/>
      <c r="N64" s="135"/>
      <c r="O64" s="7"/>
      <c r="Q64" s="7">
        <f t="shared" si="3"/>
        <v>10309234.887558624</v>
      </c>
      <c r="R64" s="7">
        <f t="shared" si="0"/>
        <v>9468.9421740081161</v>
      </c>
      <c r="S64" s="139">
        <f t="shared" si="1"/>
        <v>9.1933566492850285E-4</v>
      </c>
      <c r="T64" s="139">
        <f t="shared" si="2"/>
        <v>9.1933566492850285E-4</v>
      </c>
      <c r="V64" s="132"/>
      <c r="W64" s="132"/>
      <c r="X64" s="132"/>
      <c r="Y64" s="132"/>
      <c r="Z64" s="132"/>
      <c r="AA64" s="132"/>
      <c r="AB64" s="132"/>
      <c r="AC64" s="132"/>
      <c r="AD64" s="132"/>
    </row>
    <row r="65" spans="1:30">
      <c r="A65" s="2">
        <v>2015</v>
      </c>
      <c r="B65" s="2" t="s">
        <v>5</v>
      </c>
      <c r="C65" s="7">
        <v>9023638.461538462</v>
      </c>
      <c r="D65" s="7">
        <v>41389.949999999997</v>
      </c>
      <c r="E65" s="7">
        <v>9065028.4115384612</v>
      </c>
      <c r="F65" s="7"/>
      <c r="G65" s="15">
        <v>382.84999999999997</v>
      </c>
      <c r="H65" s="15">
        <v>0</v>
      </c>
      <c r="I65" s="2">
        <v>30</v>
      </c>
      <c r="J65" s="7">
        <v>697.6</v>
      </c>
      <c r="K65" s="7">
        <v>251208.40296224374</v>
      </c>
      <c r="L65" s="7">
        <v>4732559.1597600011</v>
      </c>
      <c r="M65" s="7"/>
      <c r="N65" s="135"/>
      <c r="O65" s="7"/>
      <c r="Q65" s="7">
        <f t="shared" si="3"/>
        <v>9211961.9449061193</v>
      </c>
      <c r="R65" s="7">
        <f t="shared" si="0"/>
        <v>146933.53336765803</v>
      </c>
      <c r="S65" s="139">
        <f t="shared" si="1"/>
        <v>1.6208833188060729E-2</v>
      </c>
      <c r="T65" s="139">
        <f t="shared" si="2"/>
        <v>1.6208833188060729E-2</v>
      </c>
      <c r="V65" s="132"/>
      <c r="W65" s="132"/>
      <c r="X65" s="132"/>
      <c r="Y65" s="132"/>
      <c r="Z65" s="132"/>
      <c r="AA65" s="132"/>
      <c r="AB65" s="132"/>
      <c r="AC65" s="132"/>
      <c r="AD65" s="132"/>
    </row>
    <row r="66" spans="1:30">
      <c r="A66" s="2">
        <v>2015</v>
      </c>
      <c r="B66" s="2" t="s">
        <v>6</v>
      </c>
      <c r="C66" s="7">
        <v>8928853.846153846</v>
      </c>
      <c r="D66" s="7">
        <v>51651.619999999995</v>
      </c>
      <c r="E66" s="7">
        <v>8980505.4661538452</v>
      </c>
      <c r="F66" s="7"/>
      <c r="G66" s="15">
        <v>135.30000000000001</v>
      </c>
      <c r="H66" s="15">
        <v>23.4</v>
      </c>
      <c r="I66" s="2">
        <v>31</v>
      </c>
      <c r="J66" s="7">
        <v>704.9</v>
      </c>
      <c r="K66" s="7">
        <v>255170.55677510196</v>
      </c>
      <c r="L66" s="7">
        <v>5023122.8568000002</v>
      </c>
      <c r="M66" s="7"/>
      <c r="N66" s="135"/>
      <c r="O66" s="7"/>
      <c r="Q66" s="7">
        <f t="shared" si="3"/>
        <v>9201509.972910054</v>
      </c>
      <c r="R66" s="7">
        <f t="shared" si="0"/>
        <v>221004.50675620884</v>
      </c>
      <c r="S66" s="139">
        <f t="shared" si="1"/>
        <v>2.4609361643299601E-2</v>
      </c>
      <c r="T66" s="139">
        <f t="shared" si="2"/>
        <v>2.4609361643299601E-2</v>
      </c>
      <c r="V66" s="132"/>
      <c r="W66" s="132"/>
      <c r="X66" s="132"/>
      <c r="Y66" s="132"/>
      <c r="Z66" s="132"/>
      <c r="AA66" s="132"/>
      <c r="AB66" s="132"/>
      <c r="AC66" s="132"/>
      <c r="AD66" s="132"/>
    </row>
    <row r="67" spans="1:30">
      <c r="A67" s="2">
        <v>2015</v>
      </c>
      <c r="B67" s="2" t="s">
        <v>7</v>
      </c>
      <c r="C67" s="7">
        <v>8756484.615384616</v>
      </c>
      <c r="D67" s="7">
        <v>49234.899999999994</v>
      </c>
      <c r="E67" s="7">
        <v>8805719.5153846163</v>
      </c>
      <c r="F67" s="7"/>
      <c r="G67" s="15">
        <v>59.199999999999996</v>
      </c>
      <c r="H67" s="15">
        <v>5.7</v>
      </c>
      <c r="I67" s="2">
        <v>30</v>
      </c>
      <c r="J67" s="7">
        <v>715.1</v>
      </c>
      <c r="K67" s="7">
        <v>259132.7105879602</v>
      </c>
      <c r="L67" s="7">
        <v>4909277.7873600004</v>
      </c>
      <c r="M67" s="7"/>
      <c r="N67" s="135"/>
      <c r="O67" s="7"/>
      <c r="Q67" s="7">
        <f t="shared" ref="Q67:Q130" si="6">$W$17+$W$18*G67+$W$19*H67+$W$20*I67+$W$21*J67+$W$22*K67+$W$23*L67</f>
        <v>8609481.5507535115</v>
      </c>
      <c r="R67" s="7">
        <f t="shared" ref="R67:R121" si="7">Q67-E67</f>
        <v>-196237.96463110484</v>
      </c>
      <c r="S67" s="139">
        <f t="shared" ref="S67:S121" si="8">R67/E67</f>
        <v>-2.2285284500403891E-2</v>
      </c>
      <c r="T67" s="139">
        <f t="shared" ref="T67:T121" si="9">ABS(S67)</f>
        <v>2.2285284500403891E-2</v>
      </c>
      <c r="V67" s="132"/>
      <c r="W67" s="132"/>
      <c r="X67" s="132"/>
      <c r="Y67" s="132"/>
      <c r="Z67" s="132"/>
      <c r="AA67" s="132"/>
      <c r="AB67" s="132"/>
      <c r="AC67" s="132"/>
      <c r="AD67" s="132"/>
    </row>
    <row r="68" spans="1:30">
      <c r="A68" s="2">
        <v>2015</v>
      </c>
      <c r="B68" s="2" t="s">
        <v>8</v>
      </c>
      <c r="C68" s="7">
        <v>9022484.615384616</v>
      </c>
      <c r="D68" s="7">
        <v>56401.829999999994</v>
      </c>
      <c r="E68" s="7">
        <v>9078886.445384616</v>
      </c>
      <c r="F68" s="7"/>
      <c r="G68" s="15">
        <v>31.3</v>
      </c>
      <c r="H68" s="15">
        <v>43.4</v>
      </c>
      <c r="I68" s="2">
        <v>31</v>
      </c>
      <c r="J68" s="7">
        <v>716.6</v>
      </c>
      <c r="K68" s="7">
        <v>263094.86440081842</v>
      </c>
      <c r="L68" s="7">
        <v>4834398.45144</v>
      </c>
      <c r="M68" s="7"/>
      <c r="N68" s="135"/>
      <c r="O68" s="7"/>
      <c r="Q68" s="7">
        <f t="shared" si="6"/>
        <v>8972304.5051802173</v>
      </c>
      <c r="R68" s="7">
        <f t="shared" si="7"/>
        <v>-106581.94020439871</v>
      </c>
      <c r="S68" s="139">
        <f t="shared" si="8"/>
        <v>-1.1739538857056768E-2</v>
      </c>
      <c r="T68" s="139">
        <f t="shared" si="9"/>
        <v>1.1739538857056768E-2</v>
      </c>
      <c r="V68" s="132"/>
      <c r="W68" s="132"/>
      <c r="X68" s="132"/>
      <c r="Y68" s="132"/>
      <c r="Z68" s="132"/>
      <c r="AA68" s="132"/>
      <c r="AB68" s="132"/>
      <c r="AC68" s="132"/>
      <c r="AD68" s="132"/>
    </row>
    <row r="69" spans="1:30">
      <c r="A69" s="2">
        <v>2015</v>
      </c>
      <c r="B69" s="2" t="s">
        <v>9</v>
      </c>
      <c r="C69" s="7">
        <v>9116284.615384616</v>
      </c>
      <c r="D69" s="7">
        <v>45640.929999999993</v>
      </c>
      <c r="E69" s="7">
        <v>9161925.5453846157</v>
      </c>
      <c r="F69" s="7"/>
      <c r="G69" s="15">
        <v>35</v>
      </c>
      <c r="H69" s="15">
        <v>38.1</v>
      </c>
      <c r="I69" s="2">
        <v>31</v>
      </c>
      <c r="J69" s="7">
        <v>713.1</v>
      </c>
      <c r="K69" s="7">
        <v>267057.0182136767</v>
      </c>
      <c r="L69" s="7">
        <v>5059556.1852000002</v>
      </c>
      <c r="M69" s="7"/>
      <c r="N69" s="135"/>
      <c r="O69" s="7"/>
      <c r="Q69" s="7">
        <f t="shared" si="6"/>
        <v>9120930.1625006944</v>
      </c>
      <c r="R69" s="7">
        <f t="shared" si="7"/>
        <v>-40995.382883921266</v>
      </c>
      <c r="S69" s="139">
        <f t="shared" si="8"/>
        <v>-4.4745378775287014E-3</v>
      </c>
      <c r="T69" s="139">
        <f t="shared" si="9"/>
        <v>4.4745378775287014E-3</v>
      </c>
      <c r="V69" s="132"/>
      <c r="W69" s="132"/>
      <c r="X69" s="132"/>
      <c r="Y69" s="132"/>
      <c r="Z69" s="132"/>
      <c r="AA69" s="132"/>
      <c r="AB69" s="132"/>
      <c r="AC69" s="132"/>
      <c r="AD69" s="132"/>
    </row>
    <row r="70" spans="1:30">
      <c r="A70" s="2">
        <v>2015</v>
      </c>
      <c r="B70" s="2" t="s">
        <v>10</v>
      </c>
      <c r="C70" s="7">
        <v>9141307.6923076939</v>
      </c>
      <c r="D70" s="7">
        <v>41373.15</v>
      </c>
      <c r="E70" s="7">
        <v>9182680.8423076943</v>
      </c>
      <c r="F70" s="7"/>
      <c r="G70" s="15">
        <v>58</v>
      </c>
      <c r="H70" s="15">
        <v>47.449999999999996</v>
      </c>
      <c r="I70" s="2">
        <v>30</v>
      </c>
      <c r="J70" s="7">
        <v>710.2</v>
      </c>
      <c r="K70" s="7">
        <v>271019.17202653491</v>
      </c>
      <c r="L70" s="7">
        <v>5022140.1996000009</v>
      </c>
      <c r="M70" s="7"/>
      <c r="N70" s="135"/>
      <c r="O70" s="7"/>
      <c r="Q70" s="7">
        <f t="shared" si="6"/>
        <v>9105662.6593999472</v>
      </c>
      <c r="R70" s="7">
        <f t="shared" si="7"/>
        <v>-77018.182907747105</v>
      </c>
      <c r="S70" s="139">
        <f t="shared" si="8"/>
        <v>-8.3873309146168373E-3</v>
      </c>
      <c r="T70" s="139">
        <f t="shared" si="9"/>
        <v>8.3873309146168373E-3</v>
      </c>
      <c r="V70" s="132"/>
      <c r="W70" s="132"/>
      <c r="X70" s="132"/>
      <c r="Y70" s="132"/>
      <c r="Z70" s="132"/>
      <c r="AA70" s="132"/>
      <c r="AB70" s="132"/>
      <c r="AC70" s="132"/>
      <c r="AD70" s="132"/>
    </row>
    <row r="71" spans="1:30">
      <c r="A71" s="2">
        <v>2015</v>
      </c>
      <c r="B71" s="2" t="s">
        <v>11</v>
      </c>
      <c r="C71" s="7">
        <v>9198407.6923076939</v>
      </c>
      <c r="D71" s="7">
        <v>26679.100000000002</v>
      </c>
      <c r="E71" s="7">
        <v>9225086.7923076935</v>
      </c>
      <c r="F71" s="7"/>
      <c r="G71" s="15">
        <v>310.5</v>
      </c>
      <c r="H71" s="15">
        <v>0</v>
      </c>
      <c r="I71" s="2">
        <v>31</v>
      </c>
      <c r="J71" s="7">
        <v>716.9</v>
      </c>
      <c r="K71" s="7">
        <v>274981.32583939313</v>
      </c>
      <c r="L71" s="7">
        <v>4871537.3212800017</v>
      </c>
      <c r="M71" s="7"/>
      <c r="N71" s="135"/>
      <c r="O71" s="7"/>
      <c r="Q71" s="7">
        <f t="shared" si="6"/>
        <v>9276958.6294281483</v>
      </c>
      <c r="R71" s="7">
        <f t="shared" si="7"/>
        <v>51871.837120454758</v>
      </c>
      <c r="S71" s="139">
        <f t="shared" si="8"/>
        <v>5.622910471011276E-3</v>
      </c>
      <c r="T71" s="139">
        <f t="shared" si="9"/>
        <v>5.622910471011276E-3</v>
      </c>
      <c r="V71" s="132"/>
      <c r="W71" s="132"/>
      <c r="X71" s="132"/>
      <c r="Y71" s="132"/>
      <c r="Z71" s="132"/>
      <c r="AA71" s="132"/>
      <c r="AB71" s="132"/>
      <c r="AC71" s="132"/>
      <c r="AD71" s="132"/>
    </row>
    <row r="72" spans="1:30">
      <c r="A72" s="2">
        <v>2015</v>
      </c>
      <c r="B72" s="2" t="s">
        <v>12</v>
      </c>
      <c r="C72" s="7">
        <v>8993830.7692307699</v>
      </c>
      <c r="D72" s="7">
        <v>15988.89</v>
      </c>
      <c r="E72" s="7">
        <v>9009819.6592307705</v>
      </c>
      <c r="F72" s="7"/>
      <c r="G72" s="15">
        <v>387.09999999999997</v>
      </c>
      <c r="H72" s="15">
        <v>0</v>
      </c>
      <c r="I72" s="2">
        <v>30</v>
      </c>
      <c r="J72" s="7">
        <v>721</v>
      </c>
      <c r="K72" s="7">
        <v>278943.47965225141</v>
      </c>
      <c r="L72" s="7">
        <v>4473873.8481600014</v>
      </c>
      <c r="M72" s="7"/>
      <c r="N72" s="135"/>
      <c r="O72" s="7"/>
      <c r="Q72" s="7">
        <f t="shared" si="6"/>
        <v>8992154.0703456663</v>
      </c>
      <c r="R72" s="7">
        <f t="shared" si="7"/>
        <v>-17665.588885104284</v>
      </c>
      <c r="S72" s="139">
        <f t="shared" si="8"/>
        <v>-1.9607039378424711E-3</v>
      </c>
      <c r="T72" s="139">
        <f t="shared" si="9"/>
        <v>1.9607039378424711E-3</v>
      </c>
      <c r="V72" s="132"/>
      <c r="W72" s="132"/>
      <c r="X72" s="132"/>
      <c r="Y72" s="132"/>
      <c r="Z72" s="132"/>
      <c r="AA72" s="132"/>
      <c r="AB72" s="132"/>
      <c r="AC72" s="132"/>
      <c r="AD72" s="132"/>
    </row>
    <row r="73" spans="1:30">
      <c r="A73" s="2">
        <v>2015</v>
      </c>
      <c r="B73" s="2" t="s">
        <v>13</v>
      </c>
      <c r="C73" s="7">
        <v>8933084.615384616</v>
      </c>
      <c r="D73" s="7">
        <v>8322.630000000001</v>
      </c>
      <c r="E73" s="7">
        <v>8941407.2453846168</v>
      </c>
      <c r="F73" s="7"/>
      <c r="G73" s="15">
        <v>491.90000000000003</v>
      </c>
      <c r="H73" s="15">
        <v>0</v>
      </c>
      <c r="I73" s="2">
        <v>31</v>
      </c>
      <c r="J73" s="7">
        <v>718.7</v>
      </c>
      <c r="K73" s="7">
        <v>282905.63346510957</v>
      </c>
      <c r="L73" s="7">
        <v>3903048.2806800003</v>
      </c>
      <c r="M73" s="7"/>
      <c r="N73" s="135"/>
      <c r="O73" s="7"/>
      <c r="Q73" s="7">
        <f t="shared" si="6"/>
        <v>8862092.760432791</v>
      </c>
      <c r="R73" s="7">
        <f t="shared" si="7"/>
        <v>-79314.484951825812</v>
      </c>
      <c r="S73" s="139">
        <f t="shared" si="8"/>
        <v>-8.8704700250362076E-3</v>
      </c>
      <c r="T73" s="139">
        <f t="shared" si="9"/>
        <v>8.8704700250362076E-3</v>
      </c>
      <c r="V73" s="132"/>
      <c r="W73" s="132"/>
      <c r="X73" s="132"/>
      <c r="Y73" s="132"/>
      <c r="Z73" s="132"/>
      <c r="AA73" s="132"/>
      <c r="AB73" s="132"/>
      <c r="AC73" s="132"/>
      <c r="AD73" s="132"/>
    </row>
    <row r="74" spans="1:30">
      <c r="A74" s="134">
        <v>2016</v>
      </c>
      <c r="B74" s="134" t="s">
        <v>2</v>
      </c>
      <c r="C74" s="7">
        <v>9895553.846153846</v>
      </c>
      <c r="D74" s="7">
        <v>5207.68</v>
      </c>
      <c r="E74" s="7">
        <v>9900761.5261538457</v>
      </c>
      <c r="F74" s="7"/>
      <c r="G74" s="15">
        <v>744.95000000000016</v>
      </c>
      <c r="H74" s="15">
        <v>0</v>
      </c>
      <c r="I74" s="2">
        <v>31</v>
      </c>
      <c r="J74" s="7">
        <v>715.8</v>
      </c>
      <c r="K74" s="7">
        <v>288174.5176010658</v>
      </c>
      <c r="L74" s="7">
        <v>4405570.5999600012</v>
      </c>
      <c r="M74" s="7"/>
      <c r="N74" s="135"/>
      <c r="O74" s="7"/>
      <c r="Q74" s="7">
        <f t="shared" si="6"/>
        <v>9962860.6330055054</v>
      </c>
      <c r="R74" s="7">
        <f t="shared" si="7"/>
        <v>62099.106851659715</v>
      </c>
      <c r="S74" s="139">
        <f t="shared" si="8"/>
        <v>6.2721545900907474E-3</v>
      </c>
      <c r="T74" s="139">
        <f t="shared" si="9"/>
        <v>6.2721545900907474E-3</v>
      </c>
      <c r="V74" s="132"/>
      <c r="W74" s="132"/>
      <c r="X74" s="132"/>
      <c r="Y74" s="132"/>
      <c r="Z74" s="132"/>
      <c r="AA74" s="132"/>
      <c r="AB74" s="132"/>
      <c r="AC74" s="132"/>
      <c r="AD74" s="132"/>
    </row>
    <row r="75" spans="1:30">
      <c r="A75" s="2">
        <v>2016</v>
      </c>
      <c r="B75" s="2" t="s">
        <v>3</v>
      </c>
      <c r="C75" s="7">
        <v>9365623.0769230761</v>
      </c>
      <c r="D75" s="7">
        <v>13850.4</v>
      </c>
      <c r="E75" s="7">
        <v>9379473.4769230764</v>
      </c>
      <c r="F75" s="7"/>
      <c r="G75" s="15">
        <v>660.05</v>
      </c>
      <c r="H75" s="15">
        <v>0</v>
      </c>
      <c r="I75" s="2">
        <v>29</v>
      </c>
      <c r="J75" s="7">
        <v>710.9</v>
      </c>
      <c r="K75" s="7">
        <v>293443.40173702204</v>
      </c>
      <c r="L75" s="7">
        <v>4328369.4283199999</v>
      </c>
      <c r="M75" s="7"/>
      <c r="N75" s="135"/>
      <c r="O75" s="7"/>
      <c r="Q75" s="7">
        <f t="shared" si="6"/>
        <v>9406405.9180169348</v>
      </c>
      <c r="R75" s="7">
        <f t="shared" si="7"/>
        <v>26932.441093858331</v>
      </c>
      <c r="S75" s="139">
        <f t="shared" si="8"/>
        <v>2.8714235569962379E-3</v>
      </c>
      <c r="T75" s="139">
        <f t="shared" si="9"/>
        <v>2.8714235569962379E-3</v>
      </c>
      <c r="V75" s="132"/>
      <c r="W75" s="132"/>
      <c r="X75" s="132"/>
      <c r="Y75" s="132"/>
      <c r="Z75" s="132"/>
      <c r="AA75" s="132"/>
      <c r="AB75" s="132"/>
      <c r="AC75" s="132"/>
      <c r="AD75" s="132"/>
    </row>
    <row r="76" spans="1:30">
      <c r="A76" s="2">
        <v>2016</v>
      </c>
      <c r="B76" s="2" t="s">
        <v>4</v>
      </c>
      <c r="C76" s="7">
        <v>9368753.846153846</v>
      </c>
      <c r="D76" s="7">
        <v>29901.01</v>
      </c>
      <c r="E76" s="7">
        <v>9398654.8561538458</v>
      </c>
      <c r="F76" s="7"/>
      <c r="G76" s="15">
        <v>522.60000000000014</v>
      </c>
      <c r="H76" s="15">
        <v>0</v>
      </c>
      <c r="I76" s="2">
        <v>31</v>
      </c>
      <c r="J76" s="7">
        <v>709.4</v>
      </c>
      <c r="K76" s="7">
        <v>298712.28587297827</v>
      </c>
      <c r="L76" s="7">
        <v>4524814.9260000009</v>
      </c>
      <c r="M76" s="7"/>
      <c r="N76" s="135"/>
      <c r="O76" s="7"/>
      <c r="Q76" s="7">
        <f t="shared" si="6"/>
        <v>9467627.8200491145</v>
      </c>
      <c r="R76" s="7">
        <f t="shared" si="7"/>
        <v>68972.963895268738</v>
      </c>
      <c r="S76" s="139">
        <f t="shared" si="8"/>
        <v>7.3385995071526778E-3</v>
      </c>
      <c r="T76" s="139">
        <f t="shared" si="9"/>
        <v>7.3385995071526778E-3</v>
      </c>
      <c r="V76" s="132"/>
      <c r="W76" s="132"/>
      <c r="X76" s="132"/>
      <c r="Y76" s="132"/>
      <c r="Z76" s="132"/>
      <c r="AA76" s="132"/>
      <c r="AB76" s="132"/>
      <c r="AC76" s="132"/>
      <c r="AD76" s="132"/>
    </row>
    <row r="77" spans="1:30">
      <c r="A77" s="2">
        <v>2016</v>
      </c>
      <c r="B77" s="2" t="s">
        <v>5</v>
      </c>
      <c r="C77" s="7">
        <v>8794053.846153846</v>
      </c>
      <c r="D77" s="7">
        <v>44751.51</v>
      </c>
      <c r="E77" s="7">
        <v>8838805.3561538458</v>
      </c>
      <c r="F77" s="7"/>
      <c r="G77" s="15">
        <v>438.15</v>
      </c>
      <c r="H77" s="15">
        <v>0</v>
      </c>
      <c r="I77" s="2">
        <v>30</v>
      </c>
      <c r="J77" s="7">
        <v>707.4</v>
      </c>
      <c r="K77" s="7">
        <v>303981.17000893457</v>
      </c>
      <c r="L77" s="7">
        <v>4449082.70364</v>
      </c>
      <c r="M77" s="7"/>
      <c r="N77" s="135"/>
      <c r="O77" s="7"/>
      <c r="Q77" s="7">
        <f t="shared" si="6"/>
        <v>9043821.1936888844</v>
      </c>
      <c r="R77" s="7">
        <f t="shared" si="7"/>
        <v>205015.83753503859</v>
      </c>
      <c r="S77" s="139">
        <f t="shared" si="8"/>
        <v>2.3194971410056033E-2</v>
      </c>
      <c r="T77" s="139">
        <f t="shared" si="9"/>
        <v>2.3194971410056033E-2</v>
      </c>
      <c r="V77" s="132"/>
      <c r="W77" s="132"/>
      <c r="X77" s="132"/>
      <c r="Y77" s="132"/>
      <c r="Z77" s="132"/>
      <c r="AA77" s="132"/>
      <c r="AB77" s="132"/>
      <c r="AC77" s="132"/>
      <c r="AD77" s="132"/>
    </row>
    <row r="78" spans="1:30">
      <c r="A78" s="2">
        <v>2016</v>
      </c>
      <c r="B78" s="2" t="s">
        <v>6</v>
      </c>
      <c r="C78" s="7">
        <v>8456384.615384616</v>
      </c>
      <c r="D78" s="7">
        <v>56991.38</v>
      </c>
      <c r="E78" s="7">
        <v>8513375.9953846168</v>
      </c>
      <c r="F78" s="7"/>
      <c r="G78" s="15">
        <v>187.6</v>
      </c>
      <c r="H78" s="15">
        <v>22.4</v>
      </c>
      <c r="I78" s="2">
        <v>31</v>
      </c>
      <c r="J78" s="7">
        <v>712.4</v>
      </c>
      <c r="K78" s="7">
        <v>307518.53088540089</v>
      </c>
      <c r="L78" s="7">
        <v>4474575.7718400005</v>
      </c>
      <c r="M78" s="7"/>
      <c r="N78" s="135"/>
      <c r="O78" s="7"/>
      <c r="Q78" s="7">
        <f t="shared" si="6"/>
        <v>8771524.6181489043</v>
      </c>
      <c r="R78" s="7">
        <f t="shared" si="7"/>
        <v>258148.62276428752</v>
      </c>
      <c r="S78" s="139">
        <f t="shared" si="8"/>
        <v>3.0322708982222616E-2</v>
      </c>
      <c r="T78" s="139">
        <f t="shared" si="9"/>
        <v>3.0322708982222616E-2</v>
      </c>
      <c r="V78" s="132"/>
      <c r="W78" s="132"/>
      <c r="X78" s="132"/>
      <c r="Y78" s="132"/>
      <c r="Z78" s="132"/>
      <c r="AA78" s="132"/>
      <c r="AB78" s="132"/>
      <c r="AC78" s="132"/>
      <c r="AD78" s="132"/>
    </row>
    <row r="79" spans="1:30">
      <c r="A79" s="2">
        <v>2016</v>
      </c>
      <c r="B79" s="2" t="s">
        <v>7</v>
      </c>
      <c r="C79" s="7">
        <v>8563653.846153846</v>
      </c>
      <c r="D79" s="7">
        <v>59808.130000000005</v>
      </c>
      <c r="E79" s="7">
        <v>8623461.9761538468</v>
      </c>
      <c r="F79" s="7"/>
      <c r="G79" s="15">
        <v>66.550000000000026</v>
      </c>
      <c r="H79" s="15">
        <v>27.55</v>
      </c>
      <c r="I79" s="2">
        <v>30</v>
      </c>
      <c r="J79" s="7">
        <v>714.6</v>
      </c>
      <c r="K79" s="7">
        <v>312757.91399036074</v>
      </c>
      <c r="L79" s="7">
        <v>4649234.5382400006</v>
      </c>
      <c r="M79" s="7"/>
      <c r="N79" s="135"/>
      <c r="O79" s="7"/>
      <c r="Q79" s="7">
        <f t="shared" si="6"/>
        <v>8539325.8362056185</v>
      </c>
      <c r="R79" s="7">
        <f t="shared" si="7"/>
        <v>-84136.139948228374</v>
      </c>
      <c r="S79" s="139">
        <f t="shared" si="8"/>
        <v>-9.7566545989171225E-3</v>
      </c>
      <c r="T79" s="139">
        <f t="shared" si="9"/>
        <v>9.7566545989171225E-3</v>
      </c>
      <c r="V79" s="132"/>
      <c r="W79" s="132"/>
      <c r="X79" s="132"/>
      <c r="Y79" s="132"/>
      <c r="Z79" s="132"/>
      <c r="AA79" s="132"/>
      <c r="AB79" s="132"/>
      <c r="AC79" s="132"/>
      <c r="AD79" s="132"/>
    </row>
    <row r="80" spans="1:30">
      <c r="A80" s="2">
        <v>2016</v>
      </c>
      <c r="B80" s="2" t="s">
        <v>8</v>
      </c>
      <c r="C80" s="7">
        <v>8313669.2307692319</v>
      </c>
      <c r="D80" s="7">
        <v>57728.289999999994</v>
      </c>
      <c r="E80" s="7">
        <v>8371397.520769232</v>
      </c>
      <c r="F80" s="7"/>
      <c r="G80" s="15">
        <v>17.3</v>
      </c>
      <c r="H80" s="15">
        <v>83</v>
      </c>
      <c r="I80" s="2">
        <v>31</v>
      </c>
      <c r="J80" s="7">
        <v>712.3</v>
      </c>
      <c r="K80" s="7">
        <v>317997.29709532059</v>
      </c>
      <c r="L80" s="7">
        <v>3951977.6131199999</v>
      </c>
      <c r="M80" s="7"/>
      <c r="N80" s="135"/>
      <c r="O80" s="7"/>
      <c r="Q80" s="7">
        <f t="shared" si="6"/>
        <v>8453027.1726758257</v>
      </c>
      <c r="R80" s="7">
        <f t="shared" si="7"/>
        <v>81629.651906593703</v>
      </c>
      <c r="S80" s="139">
        <f t="shared" si="8"/>
        <v>9.7510184773895326E-3</v>
      </c>
      <c r="T80" s="139">
        <f t="shared" si="9"/>
        <v>9.7510184773895326E-3</v>
      </c>
      <c r="V80" s="132"/>
      <c r="W80" s="132"/>
      <c r="X80" s="132"/>
      <c r="Y80" s="132"/>
      <c r="Z80" s="132"/>
      <c r="AA80" s="132"/>
      <c r="AB80" s="132"/>
      <c r="AC80" s="132"/>
      <c r="AD80" s="132"/>
    </row>
    <row r="81" spans="1:30">
      <c r="A81" s="2">
        <v>2016</v>
      </c>
      <c r="B81" s="2" t="s">
        <v>9</v>
      </c>
      <c r="C81" s="7">
        <v>9613546.153846154</v>
      </c>
      <c r="D81" s="7">
        <v>52636.83</v>
      </c>
      <c r="E81" s="7">
        <v>9666182.9838461541</v>
      </c>
      <c r="F81" s="7"/>
      <c r="G81" s="15">
        <v>3</v>
      </c>
      <c r="H81" s="15">
        <v>91.249999999999986</v>
      </c>
      <c r="I81" s="2">
        <v>31</v>
      </c>
      <c r="J81" s="7">
        <v>707.1</v>
      </c>
      <c r="K81" s="7">
        <v>323236.68020028045</v>
      </c>
      <c r="L81" s="7">
        <v>5045746.9622400003</v>
      </c>
      <c r="M81" s="7"/>
      <c r="N81" s="135"/>
      <c r="O81" s="7"/>
      <c r="Q81" s="7">
        <f t="shared" si="6"/>
        <v>9474911.4995166361</v>
      </c>
      <c r="R81" s="7">
        <f t="shared" si="7"/>
        <v>-191271.48432951793</v>
      </c>
      <c r="S81" s="139">
        <f t="shared" si="8"/>
        <v>-1.9787695375637449E-2</v>
      </c>
      <c r="T81" s="139">
        <f t="shared" si="9"/>
        <v>1.9787695375637449E-2</v>
      </c>
      <c r="V81" s="132"/>
      <c r="W81" s="132"/>
      <c r="X81" s="132"/>
      <c r="Y81" s="132"/>
      <c r="Z81" s="132"/>
      <c r="AA81" s="132"/>
      <c r="AB81" s="132"/>
      <c r="AC81" s="132"/>
      <c r="AD81" s="132"/>
    </row>
    <row r="82" spans="1:30">
      <c r="A82" s="2">
        <v>2016</v>
      </c>
      <c r="B82" s="2" t="s">
        <v>10</v>
      </c>
      <c r="C82" s="7">
        <v>8887523.0769230779</v>
      </c>
      <c r="D82" s="7">
        <v>43822.909999999996</v>
      </c>
      <c r="E82" s="7">
        <v>8931345.9869230781</v>
      </c>
      <c r="F82" s="7"/>
      <c r="G82" s="15">
        <v>66.599999999999994</v>
      </c>
      <c r="H82" s="15">
        <v>25.1</v>
      </c>
      <c r="I82" s="2">
        <v>30</v>
      </c>
      <c r="J82" s="7">
        <v>702.4</v>
      </c>
      <c r="K82" s="7">
        <v>328476.0633052403</v>
      </c>
      <c r="L82" s="7">
        <v>4829712.546240001</v>
      </c>
      <c r="M82" s="7"/>
      <c r="N82" s="135"/>
      <c r="O82" s="7"/>
      <c r="Q82" s="7">
        <f t="shared" si="6"/>
        <v>8635173.9522329997</v>
      </c>
      <c r="R82" s="7">
        <f t="shared" si="7"/>
        <v>-296172.03469007835</v>
      </c>
      <c r="S82" s="139">
        <f t="shared" si="8"/>
        <v>-3.3160963098252116E-2</v>
      </c>
      <c r="T82" s="139">
        <f t="shared" si="9"/>
        <v>3.3160963098252116E-2</v>
      </c>
      <c r="V82" s="132"/>
      <c r="W82" s="132"/>
      <c r="X82" s="132"/>
      <c r="Y82" s="132"/>
      <c r="Z82" s="132"/>
      <c r="AA82" s="132"/>
      <c r="AB82" s="132"/>
      <c r="AC82" s="132"/>
      <c r="AD82" s="132"/>
    </row>
    <row r="83" spans="1:30">
      <c r="A83" s="2">
        <v>2016</v>
      </c>
      <c r="B83" s="2" t="s">
        <v>11</v>
      </c>
      <c r="C83" s="7">
        <v>8931730.7692307699</v>
      </c>
      <c r="D83" s="7">
        <v>27241.89</v>
      </c>
      <c r="E83" s="7">
        <v>8958972.6592307705</v>
      </c>
      <c r="F83" s="7"/>
      <c r="G83" s="15">
        <v>250.79999999999995</v>
      </c>
      <c r="H83" s="15">
        <v>1.5</v>
      </c>
      <c r="I83" s="2">
        <v>31</v>
      </c>
      <c r="J83" s="7">
        <v>702.3</v>
      </c>
      <c r="K83" s="7">
        <v>333715.44641020015</v>
      </c>
      <c r="L83" s="7">
        <v>4731581.3356800005</v>
      </c>
      <c r="M83" s="7"/>
      <c r="N83" s="135"/>
      <c r="O83" s="7"/>
      <c r="Q83" s="7">
        <f t="shared" si="6"/>
        <v>8903799.1830601431</v>
      </c>
      <c r="R83" s="7">
        <f t="shared" si="7"/>
        <v>-55173.4761706274</v>
      </c>
      <c r="S83" s="139">
        <f t="shared" si="8"/>
        <v>-6.1584601571230456E-3</v>
      </c>
      <c r="T83" s="139">
        <f t="shared" si="9"/>
        <v>6.1584601571230456E-3</v>
      </c>
      <c r="V83" s="132"/>
      <c r="W83" s="132"/>
      <c r="X83" s="132"/>
      <c r="Y83" s="132"/>
      <c r="Z83" s="132"/>
      <c r="AA83" s="132"/>
      <c r="AB83" s="132"/>
      <c r="AC83" s="132"/>
      <c r="AD83" s="132"/>
    </row>
    <row r="84" spans="1:30">
      <c r="A84" s="2">
        <v>2016</v>
      </c>
      <c r="B84" s="2" t="s">
        <v>12</v>
      </c>
      <c r="C84" s="7">
        <v>9077723.0769230779</v>
      </c>
      <c r="D84" s="7">
        <v>19126.449999999997</v>
      </c>
      <c r="E84" s="7">
        <v>9096849.5269230772</v>
      </c>
      <c r="F84" s="7"/>
      <c r="G84" s="15">
        <v>383.15</v>
      </c>
      <c r="H84" s="15">
        <v>0</v>
      </c>
      <c r="I84" s="2">
        <v>30</v>
      </c>
      <c r="J84" s="7">
        <v>680.08</v>
      </c>
      <c r="K84" s="7">
        <v>338954.82951515995</v>
      </c>
      <c r="L84" s="7">
        <v>4636842.8889600011</v>
      </c>
      <c r="M84" s="7"/>
      <c r="N84" s="135"/>
      <c r="O84" s="7"/>
      <c r="Q84" s="7">
        <f t="shared" si="6"/>
        <v>8974772.0490571335</v>
      </c>
      <c r="R84" s="7">
        <f t="shared" si="7"/>
        <v>-122077.47786594369</v>
      </c>
      <c r="S84" s="139">
        <f t="shared" si="8"/>
        <v>-1.3419753454714474E-2</v>
      </c>
      <c r="T84" s="139">
        <f t="shared" si="9"/>
        <v>1.3419753454714474E-2</v>
      </c>
      <c r="V84" s="132"/>
      <c r="W84" s="132"/>
      <c r="X84" s="132"/>
      <c r="Y84" s="132"/>
      <c r="Z84" s="132"/>
      <c r="AA84" s="132"/>
      <c r="AB84" s="132"/>
      <c r="AC84" s="132"/>
      <c r="AD84" s="132"/>
    </row>
    <row r="85" spans="1:30">
      <c r="A85" s="2">
        <v>2016</v>
      </c>
      <c r="B85" s="2" t="s">
        <v>13</v>
      </c>
      <c r="C85" s="7">
        <v>9430592.307692308</v>
      </c>
      <c r="D85" s="7">
        <v>2148.2600000000002</v>
      </c>
      <c r="E85" s="7">
        <v>9432740.5676923078</v>
      </c>
      <c r="F85" s="7"/>
      <c r="G85" s="15">
        <v>678.6</v>
      </c>
      <c r="H85" s="15">
        <v>0</v>
      </c>
      <c r="I85" s="2">
        <v>31</v>
      </c>
      <c r="J85" s="7">
        <v>678.47</v>
      </c>
      <c r="K85" s="7">
        <v>344194.2126201198</v>
      </c>
      <c r="L85" s="7">
        <v>4074210.2448000005</v>
      </c>
      <c r="M85" s="7"/>
      <c r="N85" s="135"/>
      <c r="O85" s="7"/>
      <c r="Q85" s="7">
        <f t="shared" si="6"/>
        <v>9346865.0111687817</v>
      </c>
      <c r="R85" s="7">
        <f t="shared" si="7"/>
        <v>-85875.556523526087</v>
      </c>
      <c r="S85" s="139">
        <f t="shared" si="8"/>
        <v>-9.1039879563374112E-3</v>
      </c>
      <c r="T85" s="139">
        <f t="shared" si="9"/>
        <v>9.1039879563374112E-3</v>
      </c>
      <c r="V85" s="132"/>
      <c r="W85" s="132"/>
      <c r="X85" s="132"/>
      <c r="Y85" s="132"/>
      <c r="Z85" s="132"/>
      <c r="AA85" s="132"/>
      <c r="AB85" s="132"/>
      <c r="AC85" s="132"/>
      <c r="AD85" s="132"/>
    </row>
    <row r="86" spans="1:30">
      <c r="A86" s="134">
        <v>2017</v>
      </c>
      <c r="B86" s="134" t="s">
        <v>2</v>
      </c>
      <c r="C86" s="7">
        <v>9930885.7142857146</v>
      </c>
      <c r="D86" s="7">
        <v>5767.64</v>
      </c>
      <c r="E86" s="7">
        <v>9936653.3542857151</v>
      </c>
      <c r="F86" s="7"/>
      <c r="G86" s="15">
        <v>683</v>
      </c>
      <c r="H86" s="15">
        <v>0</v>
      </c>
      <c r="I86" s="2">
        <v>31</v>
      </c>
      <c r="J86" s="7">
        <v>695.3</v>
      </c>
      <c r="K86" s="7">
        <v>346870.60298182809</v>
      </c>
      <c r="L86" s="7">
        <v>4687093.2816000003</v>
      </c>
      <c r="M86" s="7"/>
      <c r="N86" s="135"/>
      <c r="O86" s="7"/>
      <c r="Q86" s="7">
        <f t="shared" si="6"/>
        <v>9940532.725785654</v>
      </c>
      <c r="R86" s="7">
        <f t="shared" si="7"/>
        <v>3879.3714999388903</v>
      </c>
      <c r="S86" s="139">
        <f t="shared" si="8"/>
        <v>3.9041026808746461E-4</v>
      </c>
      <c r="T86" s="139">
        <f t="shared" si="9"/>
        <v>3.9041026808746461E-4</v>
      </c>
      <c r="V86" s="132"/>
      <c r="W86" s="132"/>
      <c r="X86" s="132"/>
      <c r="Y86" s="132"/>
      <c r="Z86" s="132"/>
      <c r="AA86" s="132"/>
      <c r="AB86" s="132"/>
      <c r="AC86" s="132"/>
      <c r="AD86" s="132"/>
    </row>
    <row r="87" spans="1:30">
      <c r="A87" s="2">
        <v>2017</v>
      </c>
      <c r="B87" s="2" t="s">
        <v>3</v>
      </c>
      <c r="C87" s="7">
        <v>8810038.095238097</v>
      </c>
      <c r="D87" s="7">
        <v>12728.180000000002</v>
      </c>
      <c r="E87" s="7">
        <v>8822766.2752380967</v>
      </c>
      <c r="F87" s="7"/>
      <c r="G87" s="15">
        <v>559.29999999999995</v>
      </c>
      <c r="H87" s="15">
        <v>0</v>
      </c>
      <c r="I87" s="2">
        <v>28</v>
      </c>
      <c r="J87" s="7">
        <v>696.5</v>
      </c>
      <c r="K87" s="7">
        <v>349546.99334353633</v>
      </c>
      <c r="L87" s="7">
        <v>4246252.9632000001</v>
      </c>
      <c r="M87" s="7"/>
      <c r="N87" s="135"/>
      <c r="O87" s="7"/>
      <c r="Q87" s="7">
        <f t="shared" si="6"/>
        <v>8842890.3274317421</v>
      </c>
      <c r="R87" s="7">
        <f t="shared" si="7"/>
        <v>20124.052193645388</v>
      </c>
      <c r="S87" s="139">
        <f t="shared" si="8"/>
        <v>2.2809231896038533E-3</v>
      </c>
      <c r="T87" s="139">
        <f t="shared" si="9"/>
        <v>2.2809231896038533E-3</v>
      </c>
      <c r="V87" s="132"/>
      <c r="W87" s="132"/>
      <c r="X87" s="132"/>
      <c r="Y87" s="132"/>
      <c r="Z87" s="132"/>
      <c r="AA87" s="132"/>
      <c r="AB87" s="132"/>
      <c r="AC87" s="132"/>
      <c r="AD87" s="132"/>
    </row>
    <row r="88" spans="1:30">
      <c r="A88" s="2">
        <v>2017</v>
      </c>
      <c r="B88" s="2" t="s">
        <v>4</v>
      </c>
      <c r="C88" s="7">
        <v>9719966.6666666679</v>
      </c>
      <c r="D88" s="7">
        <v>28698.59</v>
      </c>
      <c r="E88" s="7">
        <v>9748665.2566666678</v>
      </c>
      <c r="F88" s="7"/>
      <c r="G88" s="15">
        <v>649.80000000000007</v>
      </c>
      <c r="H88" s="15">
        <v>0</v>
      </c>
      <c r="I88" s="2">
        <v>31</v>
      </c>
      <c r="J88" s="7">
        <v>697.8</v>
      </c>
      <c r="K88" s="7">
        <v>352223.38370524463</v>
      </c>
      <c r="L88" s="7">
        <v>4726110.9715199992</v>
      </c>
      <c r="M88" s="7"/>
      <c r="N88" s="135"/>
      <c r="O88" s="7"/>
      <c r="Q88" s="7">
        <f t="shared" si="6"/>
        <v>9886820.2796975635</v>
      </c>
      <c r="R88" s="7">
        <f t="shared" si="7"/>
        <v>138155.02303089574</v>
      </c>
      <c r="S88" s="139">
        <f t="shared" si="8"/>
        <v>1.4171686009673766E-2</v>
      </c>
      <c r="T88" s="139">
        <f t="shared" si="9"/>
        <v>1.4171686009673766E-2</v>
      </c>
      <c r="V88" s="132"/>
      <c r="W88" s="132"/>
      <c r="X88" s="132"/>
      <c r="Y88" s="132"/>
      <c r="Z88" s="132"/>
      <c r="AA88" s="132"/>
      <c r="AB88" s="132"/>
      <c r="AC88" s="132"/>
      <c r="AD88" s="132"/>
    </row>
    <row r="89" spans="1:30">
      <c r="A89" s="2">
        <v>2017</v>
      </c>
      <c r="B89" s="2" t="s">
        <v>5</v>
      </c>
      <c r="C89" s="7">
        <v>8325423.8095238097</v>
      </c>
      <c r="D89" s="7">
        <v>43249.94</v>
      </c>
      <c r="E89" s="7">
        <v>8368673.7495238101</v>
      </c>
      <c r="F89" s="7"/>
      <c r="G89" s="15">
        <v>306.90000000000003</v>
      </c>
      <c r="H89" s="15">
        <v>0</v>
      </c>
      <c r="I89" s="2">
        <v>30</v>
      </c>
      <c r="J89" s="7">
        <v>705.6</v>
      </c>
      <c r="K89" s="7">
        <v>354899.77406695287</v>
      </c>
      <c r="L89" s="7">
        <v>4367735.7321600001</v>
      </c>
      <c r="M89" s="7"/>
      <c r="N89" s="135"/>
      <c r="O89" s="7"/>
      <c r="Q89" s="7">
        <f t="shared" si="6"/>
        <v>8556293.9836759921</v>
      </c>
      <c r="R89" s="7">
        <f t="shared" si="7"/>
        <v>187620.23415218201</v>
      </c>
      <c r="S89" s="139">
        <f t="shared" si="8"/>
        <v>2.2419350994876325E-2</v>
      </c>
      <c r="T89" s="139">
        <f t="shared" si="9"/>
        <v>2.2419350994876325E-2</v>
      </c>
      <c r="V89" s="132"/>
      <c r="W89" s="132"/>
      <c r="X89" s="132"/>
      <c r="Y89" s="132"/>
      <c r="Z89" s="132"/>
      <c r="AA89" s="132"/>
      <c r="AB89" s="132"/>
      <c r="AC89" s="132"/>
      <c r="AD89" s="132"/>
    </row>
    <row r="90" spans="1:30">
      <c r="A90" s="2">
        <v>2017</v>
      </c>
      <c r="B90" s="2" t="s">
        <v>6</v>
      </c>
      <c r="C90" s="7">
        <v>8509933.333333334</v>
      </c>
      <c r="D90" s="7">
        <v>47946.709999999992</v>
      </c>
      <c r="E90" s="7">
        <v>8557880.0433333348</v>
      </c>
      <c r="F90" s="7"/>
      <c r="G90" s="15">
        <v>228.2</v>
      </c>
      <c r="H90" s="15">
        <v>2.8</v>
      </c>
      <c r="I90" s="2">
        <v>31</v>
      </c>
      <c r="J90" s="7">
        <v>717.2</v>
      </c>
      <c r="K90" s="7">
        <v>357576.16442866111</v>
      </c>
      <c r="L90" s="7">
        <v>4615335.4579200009</v>
      </c>
      <c r="M90" s="7"/>
      <c r="N90" s="135"/>
      <c r="O90" s="7"/>
      <c r="Q90" s="7">
        <f t="shared" si="6"/>
        <v>8746728.6299450211</v>
      </c>
      <c r="R90" s="7">
        <f t="shared" si="7"/>
        <v>188848.58661168627</v>
      </c>
      <c r="S90" s="139">
        <f t="shared" si="8"/>
        <v>2.2067215905743037E-2</v>
      </c>
      <c r="T90" s="139">
        <f t="shared" si="9"/>
        <v>2.2067215905743037E-2</v>
      </c>
      <c r="V90" s="132"/>
      <c r="W90" s="132"/>
      <c r="X90" s="132"/>
      <c r="Y90" s="132"/>
      <c r="Z90" s="132"/>
      <c r="AA90" s="132"/>
      <c r="AB90" s="132"/>
      <c r="AC90" s="132"/>
      <c r="AD90" s="132"/>
    </row>
    <row r="91" spans="1:30">
      <c r="A91" s="2">
        <v>2017</v>
      </c>
      <c r="B91" s="2" t="s">
        <v>7</v>
      </c>
      <c r="C91" s="7">
        <v>8510690.4761904776</v>
      </c>
      <c r="D91" s="7">
        <v>51758.58</v>
      </c>
      <c r="E91" s="7">
        <v>8562449.0561904777</v>
      </c>
      <c r="F91" s="7"/>
      <c r="G91" s="15">
        <v>57.099999999999994</v>
      </c>
      <c r="H91" s="15">
        <v>33.200000000000003</v>
      </c>
      <c r="I91" s="2">
        <v>30</v>
      </c>
      <c r="J91" s="7">
        <v>736.2</v>
      </c>
      <c r="K91" s="7">
        <v>360252.55479036941</v>
      </c>
      <c r="L91" s="7">
        <v>4628753.59968</v>
      </c>
      <c r="M91" s="7"/>
      <c r="N91" s="135"/>
      <c r="O91" s="7"/>
      <c r="Q91" s="7">
        <f t="shared" si="6"/>
        <v>8526871.4780855924</v>
      </c>
      <c r="R91" s="7">
        <f t="shared" si="7"/>
        <v>-35577.578104885295</v>
      </c>
      <c r="S91" s="139">
        <f t="shared" si="8"/>
        <v>-4.1550703392697471E-3</v>
      </c>
      <c r="T91" s="139">
        <f t="shared" si="9"/>
        <v>4.1550703392697471E-3</v>
      </c>
      <c r="V91" s="132"/>
      <c r="W91" s="132"/>
      <c r="X91" s="132"/>
      <c r="Y91" s="132"/>
      <c r="Z91" s="132"/>
      <c r="AA91" s="132"/>
      <c r="AB91" s="132"/>
      <c r="AC91" s="132"/>
      <c r="AD91" s="132"/>
    </row>
    <row r="92" spans="1:30">
      <c r="A92" s="2">
        <v>2017</v>
      </c>
      <c r="B92" s="2" t="s">
        <v>8</v>
      </c>
      <c r="C92" s="7">
        <v>8340833.333333334</v>
      </c>
      <c r="D92" s="7">
        <v>51601.86</v>
      </c>
      <c r="E92" s="7">
        <v>8392435.1933333334</v>
      </c>
      <c r="F92" s="7"/>
      <c r="G92" s="15">
        <v>9.4</v>
      </c>
      <c r="H92" s="15">
        <v>37.800000000000004</v>
      </c>
      <c r="I92" s="2">
        <v>31</v>
      </c>
      <c r="J92" s="7">
        <v>747.1</v>
      </c>
      <c r="K92" s="7">
        <v>362928.94515207765</v>
      </c>
      <c r="L92" s="7">
        <v>4242128.5584000004</v>
      </c>
      <c r="M92" s="7"/>
      <c r="N92" s="135"/>
      <c r="O92" s="7"/>
      <c r="Q92" s="7">
        <f t="shared" si="6"/>
        <v>8239511.3678203234</v>
      </c>
      <c r="R92" s="7">
        <f t="shared" si="7"/>
        <v>-152923.82551300991</v>
      </c>
      <c r="S92" s="139">
        <f t="shared" si="8"/>
        <v>-1.8221627214290249E-2</v>
      </c>
      <c r="T92" s="139">
        <f t="shared" si="9"/>
        <v>1.8221627214290249E-2</v>
      </c>
      <c r="V92" s="132"/>
      <c r="W92" s="132"/>
      <c r="X92" s="132"/>
      <c r="Y92" s="132"/>
      <c r="Z92" s="132"/>
      <c r="AA92" s="132"/>
      <c r="AB92" s="132"/>
      <c r="AC92" s="132"/>
      <c r="AD92" s="132"/>
    </row>
    <row r="93" spans="1:30">
      <c r="A93" s="2">
        <v>2017</v>
      </c>
      <c r="B93" s="2" t="s">
        <v>9</v>
      </c>
      <c r="C93" s="7">
        <v>8979966.666666666</v>
      </c>
      <c r="D93" s="7">
        <v>48390.44</v>
      </c>
      <c r="E93" s="7">
        <v>9028357.1066666655</v>
      </c>
      <c r="F93" s="7"/>
      <c r="G93" s="15">
        <v>47.399999999999991</v>
      </c>
      <c r="H93" s="15">
        <v>26.3</v>
      </c>
      <c r="I93" s="2">
        <v>31</v>
      </c>
      <c r="J93" s="7">
        <v>752.8</v>
      </c>
      <c r="K93" s="7">
        <v>365605.33551378595</v>
      </c>
      <c r="L93" s="7">
        <v>4968790.0761599997</v>
      </c>
      <c r="M93" s="7"/>
      <c r="N93" s="135"/>
      <c r="O93" s="7"/>
      <c r="Q93" s="7">
        <f t="shared" si="6"/>
        <v>8887614.2210218757</v>
      </c>
      <c r="R93" s="7">
        <f t="shared" si="7"/>
        <v>-140742.88564478979</v>
      </c>
      <c r="S93" s="139">
        <f t="shared" si="8"/>
        <v>-1.5588980805916867E-2</v>
      </c>
      <c r="T93" s="139">
        <f t="shared" si="9"/>
        <v>1.5588980805916867E-2</v>
      </c>
      <c r="V93" s="132"/>
      <c r="W93" s="132"/>
      <c r="X93" s="132"/>
      <c r="Y93" s="132"/>
      <c r="Z93" s="132"/>
      <c r="AA93" s="132"/>
      <c r="AB93" s="132"/>
      <c r="AC93" s="132"/>
      <c r="AD93" s="132"/>
    </row>
    <row r="94" spans="1:30">
      <c r="A94" s="2">
        <v>2017</v>
      </c>
      <c r="B94" s="2" t="s">
        <v>10</v>
      </c>
      <c r="C94" s="7">
        <v>8504666.6666666679</v>
      </c>
      <c r="D94" s="7">
        <v>44462.16</v>
      </c>
      <c r="E94" s="7">
        <v>8549128.8266666681</v>
      </c>
      <c r="F94" s="7"/>
      <c r="G94" s="15">
        <v>92.4</v>
      </c>
      <c r="H94" s="15">
        <v>38.799999999999997</v>
      </c>
      <c r="I94" s="2">
        <v>30</v>
      </c>
      <c r="J94" s="7">
        <v>744.4</v>
      </c>
      <c r="K94" s="7">
        <v>368281.72587549419</v>
      </c>
      <c r="L94" s="7">
        <v>4504351.1932799993</v>
      </c>
      <c r="M94" s="7"/>
      <c r="N94" s="135"/>
      <c r="O94" s="7"/>
      <c r="Q94" s="7">
        <f t="shared" si="6"/>
        <v>8565959.188311249</v>
      </c>
      <c r="R94" s="7">
        <f t="shared" si="7"/>
        <v>16830.36164458096</v>
      </c>
      <c r="S94" s="139">
        <f t="shared" si="8"/>
        <v>1.9686639405974622E-3</v>
      </c>
      <c r="T94" s="139">
        <f t="shared" si="9"/>
        <v>1.9686639405974622E-3</v>
      </c>
      <c r="V94" s="132"/>
      <c r="W94" s="132"/>
      <c r="X94" s="132"/>
      <c r="Y94" s="132"/>
      <c r="Z94" s="132"/>
      <c r="AA94" s="132"/>
      <c r="AB94" s="132"/>
      <c r="AC94" s="132"/>
      <c r="AD94" s="132"/>
    </row>
    <row r="95" spans="1:30">
      <c r="A95" s="2">
        <v>2017</v>
      </c>
      <c r="B95" s="2" t="s">
        <v>11</v>
      </c>
      <c r="C95" s="7">
        <v>8854833.333333334</v>
      </c>
      <c r="D95" s="7">
        <v>29071.199999999993</v>
      </c>
      <c r="E95" s="7">
        <v>8883904.5333333332</v>
      </c>
      <c r="F95" s="7"/>
      <c r="G95" s="15">
        <v>206.3</v>
      </c>
      <c r="H95" s="15">
        <v>1.4</v>
      </c>
      <c r="I95" s="2">
        <v>31</v>
      </c>
      <c r="J95" s="7">
        <v>735</v>
      </c>
      <c r="K95" s="7">
        <v>370958.11623720248</v>
      </c>
      <c r="L95" s="7">
        <v>4755960.1324800001</v>
      </c>
      <c r="M95" s="7"/>
      <c r="N95" s="135"/>
      <c r="O95" s="7"/>
      <c r="Q95" s="7">
        <f t="shared" si="6"/>
        <v>8816672.0331323743</v>
      </c>
      <c r="R95" s="7">
        <f t="shared" si="7"/>
        <v>-67232.500200958923</v>
      </c>
      <c r="S95" s="139">
        <f t="shared" si="8"/>
        <v>-7.5678998967960084E-3</v>
      </c>
      <c r="T95" s="139">
        <f t="shared" si="9"/>
        <v>7.5678998967960084E-3</v>
      </c>
      <c r="V95" s="132"/>
      <c r="W95" s="132"/>
      <c r="X95" s="132"/>
      <c r="Y95" s="132"/>
      <c r="Z95" s="132"/>
      <c r="AA95" s="132"/>
      <c r="AB95" s="132"/>
      <c r="AC95" s="132"/>
      <c r="AD95" s="132"/>
    </row>
    <row r="96" spans="1:30">
      <c r="A96" s="2">
        <v>2017</v>
      </c>
      <c r="B96" s="2" t="s">
        <v>12</v>
      </c>
      <c r="C96" s="7">
        <v>9238000.0000000019</v>
      </c>
      <c r="D96" s="7">
        <v>10901.419999999998</v>
      </c>
      <c r="E96" s="7">
        <v>9248901.4200000018</v>
      </c>
      <c r="F96" s="7"/>
      <c r="G96" s="15">
        <v>506.2999999999999</v>
      </c>
      <c r="H96" s="15">
        <v>0</v>
      </c>
      <c r="I96" s="2">
        <v>30</v>
      </c>
      <c r="J96" s="7">
        <v>726.2</v>
      </c>
      <c r="K96" s="7">
        <v>373634.50659891072</v>
      </c>
      <c r="L96" s="7">
        <v>4578001.3094400009</v>
      </c>
      <c r="M96" s="7"/>
      <c r="N96" s="135"/>
      <c r="O96" s="7"/>
      <c r="Q96" s="7">
        <f t="shared" si="6"/>
        <v>9276081.801543545</v>
      </c>
      <c r="R96" s="7">
        <f t="shared" si="7"/>
        <v>27180.38154354319</v>
      </c>
      <c r="S96" s="139">
        <f t="shared" si="8"/>
        <v>2.9387686503791477E-3</v>
      </c>
      <c r="T96" s="139">
        <f t="shared" si="9"/>
        <v>2.9387686503791477E-3</v>
      </c>
      <c r="V96" s="132"/>
      <c r="W96" s="132"/>
      <c r="X96" s="132"/>
      <c r="Y96" s="132"/>
      <c r="Z96" s="132"/>
      <c r="AA96" s="132"/>
      <c r="AB96" s="132"/>
      <c r="AC96" s="132"/>
      <c r="AD96" s="132"/>
    </row>
    <row r="97" spans="1:54">
      <c r="A97" s="2">
        <v>2017</v>
      </c>
      <c r="B97" s="2" t="s">
        <v>13</v>
      </c>
      <c r="C97" s="7">
        <v>9018400</v>
      </c>
      <c r="D97" s="7">
        <v>4527.1900000000005</v>
      </c>
      <c r="E97" s="7">
        <v>9022927.1899999995</v>
      </c>
      <c r="F97" s="7"/>
      <c r="G97" s="15">
        <v>775.09999999999991</v>
      </c>
      <c r="H97" s="15">
        <v>0</v>
      </c>
      <c r="I97" s="2">
        <v>31</v>
      </c>
      <c r="J97" s="7">
        <v>716.5</v>
      </c>
      <c r="K97" s="7">
        <v>376310.89696061896</v>
      </c>
      <c r="L97" s="7">
        <v>3605478.5923200008</v>
      </c>
      <c r="M97" s="7"/>
      <c r="N97" s="135"/>
      <c r="O97" s="7"/>
      <c r="Q97" s="7">
        <f t="shared" si="6"/>
        <v>9196250.4403668642</v>
      </c>
      <c r="R97" s="7">
        <f t="shared" si="7"/>
        <v>173323.25036686473</v>
      </c>
      <c r="S97" s="139">
        <f t="shared" si="8"/>
        <v>1.9209204143745811E-2</v>
      </c>
      <c r="T97" s="139">
        <f t="shared" si="9"/>
        <v>1.9209204143745811E-2</v>
      </c>
      <c r="V97" s="132"/>
      <c r="W97" s="132"/>
      <c r="X97" s="132"/>
      <c r="Y97" s="132"/>
      <c r="Z97" s="132"/>
      <c r="AA97" s="132"/>
      <c r="AB97" s="132"/>
      <c r="AC97" s="132"/>
      <c r="AD97" s="132"/>
    </row>
    <row r="98" spans="1:54">
      <c r="A98" s="134">
        <v>2018</v>
      </c>
      <c r="B98" s="134" t="s">
        <v>2</v>
      </c>
      <c r="C98" s="7">
        <v>10120900</v>
      </c>
      <c r="D98" s="7">
        <v>7990.8499999999985</v>
      </c>
      <c r="E98" s="7">
        <v>10128890.85</v>
      </c>
      <c r="F98" s="7"/>
      <c r="G98" s="15">
        <v>792.89999999999986</v>
      </c>
      <c r="H98" s="15">
        <v>0</v>
      </c>
      <c r="I98" s="2">
        <v>31</v>
      </c>
      <c r="J98" s="7">
        <v>703.7</v>
      </c>
      <c r="K98" s="7">
        <v>381012.36350388575</v>
      </c>
      <c r="L98" s="7">
        <v>4526352.5299200006</v>
      </c>
      <c r="M98" s="7"/>
      <c r="N98" s="135"/>
      <c r="O98" s="7"/>
      <c r="Q98" s="7">
        <f t="shared" si="6"/>
        <v>10048518.606778823</v>
      </c>
      <c r="R98" s="7">
        <f t="shared" si="7"/>
        <v>-80372.243221176788</v>
      </c>
      <c r="S98" s="139">
        <f t="shared" si="8"/>
        <v>-7.934950076115865E-3</v>
      </c>
      <c r="T98" s="139">
        <f t="shared" si="9"/>
        <v>7.934950076115865E-3</v>
      </c>
      <c r="V98" s="132"/>
      <c r="W98" s="132"/>
      <c r="X98" s="132"/>
      <c r="Y98" s="132"/>
      <c r="Z98" s="132"/>
      <c r="AA98" s="132"/>
      <c r="AB98" s="132"/>
      <c r="AC98" s="132"/>
      <c r="AD98" s="132"/>
    </row>
    <row r="99" spans="1:54">
      <c r="A99" s="2">
        <v>2018</v>
      </c>
      <c r="B99" s="2" t="s">
        <v>3</v>
      </c>
      <c r="C99" s="7">
        <v>8889933.333333334</v>
      </c>
      <c r="D99" s="7">
        <v>14039.759999999998</v>
      </c>
      <c r="E99" s="7">
        <v>8903973.0933333337</v>
      </c>
      <c r="F99" s="7"/>
      <c r="G99" s="15">
        <v>619.6</v>
      </c>
      <c r="H99" s="15">
        <v>0</v>
      </c>
      <c r="I99" s="2">
        <v>28</v>
      </c>
      <c r="J99" s="7">
        <v>692.6</v>
      </c>
      <c r="K99" s="7">
        <v>385713.83004715247</v>
      </c>
      <c r="L99" s="7">
        <v>4091881.8355200007</v>
      </c>
      <c r="M99" s="7"/>
      <c r="N99" s="135"/>
      <c r="O99" s="7"/>
      <c r="Q99" s="7">
        <f t="shared" si="6"/>
        <v>8803125.3801487684</v>
      </c>
      <c r="R99" s="7">
        <f t="shared" si="7"/>
        <v>-100847.71318456531</v>
      </c>
      <c r="S99" s="139">
        <f t="shared" si="8"/>
        <v>-1.1326147566648978E-2</v>
      </c>
      <c r="T99" s="139">
        <f t="shared" si="9"/>
        <v>1.1326147566648978E-2</v>
      </c>
      <c r="V99" s="132"/>
      <c r="W99" s="132"/>
      <c r="X99" s="132"/>
      <c r="Y99" s="132"/>
      <c r="Z99" s="132"/>
      <c r="AA99" s="132"/>
      <c r="AB99" s="132"/>
      <c r="AC99" s="132"/>
      <c r="AD99" s="132"/>
    </row>
    <row r="100" spans="1:54">
      <c r="A100" s="2">
        <v>2018</v>
      </c>
      <c r="B100" s="2" t="s">
        <v>4</v>
      </c>
      <c r="C100" s="7">
        <v>9293433.333333334</v>
      </c>
      <c r="D100" s="7">
        <v>41769.879999999997</v>
      </c>
      <c r="E100" s="7">
        <v>9335203.2133333348</v>
      </c>
      <c r="F100" s="7"/>
      <c r="G100" s="15">
        <v>631.59999999999991</v>
      </c>
      <c r="H100" s="15">
        <v>0</v>
      </c>
      <c r="I100" s="2">
        <v>31</v>
      </c>
      <c r="J100" s="7">
        <v>688.9</v>
      </c>
      <c r="K100" s="7">
        <v>390415.29659041925</v>
      </c>
      <c r="L100" s="7">
        <v>4458043.20096</v>
      </c>
      <c r="M100" s="7"/>
      <c r="N100" s="135"/>
      <c r="O100" s="7"/>
      <c r="Q100" s="7">
        <f t="shared" si="6"/>
        <v>9528336.606015645</v>
      </c>
      <c r="R100" s="7">
        <f t="shared" si="7"/>
        <v>193133.39268231019</v>
      </c>
      <c r="S100" s="139">
        <f t="shared" si="8"/>
        <v>2.0688718635118793E-2</v>
      </c>
      <c r="T100" s="139">
        <f t="shared" si="9"/>
        <v>2.0688718635118793E-2</v>
      </c>
      <c r="V100" s="132"/>
      <c r="W100" s="132"/>
      <c r="X100" s="132"/>
      <c r="Y100" s="132"/>
      <c r="Z100" s="132"/>
      <c r="AA100" s="132"/>
      <c r="AB100" s="132"/>
      <c r="AC100" s="132"/>
      <c r="AD100" s="132"/>
    </row>
    <row r="101" spans="1:54">
      <c r="A101" s="2">
        <v>2018</v>
      </c>
      <c r="B101" s="2" t="s">
        <v>5</v>
      </c>
      <c r="C101" s="7">
        <v>8633466.6666666679</v>
      </c>
      <c r="D101" s="7">
        <v>37676.380000000005</v>
      </c>
      <c r="E101" s="7">
        <v>8671143.0466666687</v>
      </c>
      <c r="F101" s="7"/>
      <c r="G101" s="15">
        <v>515.69999999999993</v>
      </c>
      <c r="H101" s="15">
        <v>0</v>
      </c>
      <c r="I101" s="2">
        <v>30</v>
      </c>
      <c r="J101" s="7">
        <v>695.4</v>
      </c>
      <c r="K101" s="7">
        <v>395116.76313368598</v>
      </c>
      <c r="L101" s="7">
        <v>4217020.4649599995</v>
      </c>
      <c r="M101" s="7"/>
      <c r="N101" s="135"/>
      <c r="O101" s="7"/>
      <c r="Q101" s="7">
        <f t="shared" si="6"/>
        <v>8888831.9959630258</v>
      </c>
      <c r="R101" s="7">
        <f t="shared" si="7"/>
        <v>217688.94929635711</v>
      </c>
      <c r="S101" s="139">
        <f t="shared" si="8"/>
        <v>2.5104988826131793E-2</v>
      </c>
      <c r="T101" s="139">
        <f t="shared" si="9"/>
        <v>2.5104988826131793E-2</v>
      </c>
      <c r="V101" s="132"/>
      <c r="W101" s="132"/>
      <c r="X101" s="132"/>
      <c r="Y101" s="132"/>
      <c r="Z101" s="132"/>
      <c r="AA101" s="132"/>
      <c r="AB101" s="132"/>
      <c r="AC101" s="132"/>
      <c r="AD101" s="132"/>
    </row>
    <row r="102" spans="1:54">
      <c r="A102" s="2">
        <v>2018</v>
      </c>
      <c r="B102" s="2" t="s">
        <v>6</v>
      </c>
      <c r="C102" s="7">
        <v>8484266.6666666679</v>
      </c>
      <c r="D102" s="7">
        <v>57043.030000000006</v>
      </c>
      <c r="E102" s="7">
        <v>8541309.6966666672</v>
      </c>
      <c r="F102" s="7"/>
      <c r="G102" s="15">
        <v>120</v>
      </c>
      <c r="H102" s="15">
        <v>30.699999999999996</v>
      </c>
      <c r="I102" s="2">
        <v>31</v>
      </c>
      <c r="J102" s="7">
        <v>704.2</v>
      </c>
      <c r="K102" s="7">
        <v>399818.22967695276</v>
      </c>
      <c r="L102" s="7">
        <v>4625443.2067200011</v>
      </c>
      <c r="M102" s="7"/>
      <c r="N102" s="135"/>
      <c r="O102" s="7"/>
      <c r="Q102" s="7">
        <f t="shared" si="6"/>
        <v>8675875.4016280286</v>
      </c>
      <c r="R102" s="7">
        <f t="shared" si="7"/>
        <v>134565.70496136136</v>
      </c>
      <c r="S102" s="139">
        <f t="shared" si="8"/>
        <v>1.575469216552082E-2</v>
      </c>
      <c r="T102" s="139">
        <f t="shared" si="9"/>
        <v>1.575469216552082E-2</v>
      </c>
      <c r="V102" s="132"/>
      <c r="W102" s="132"/>
      <c r="X102" s="132"/>
      <c r="Y102" s="132"/>
      <c r="Z102" s="132"/>
      <c r="AA102" s="132"/>
      <c r="AB102" s="132"/>
      <c r="AC102" s="132"/>
      <c r="AD102" s="132"/>
    </row>
    <row r="103" spans="1:54">
      <c r="A103" s="2">
        <v>2018</v>
      </c>
      <c r="B103" s="2" t="s">
        <v>7</v>
      </c>
      <c r="C103" s="7">
        <v>8312400</v>
      </c>
      <c r="D103" s="7">
        <v>54834.23000000001</v>
      </c>
      <c r="E103" s="7">
        <v>8367234.2300000004</v>
      </c>
      <c r="F103" s="7"/>
      <c r="G103" s="15">
        <v>46.500000000000007</v>
      </c>
      <c r="H103" s="15">
        <v>28.7</v>
      </c>
      <c r="I103" s="2">
        <v>30</v>
      </c>
      <c r="J103" s="7">
        <v>720.2</v>
      </c>
      <c r="K103" s="7">
        <v>404519.69622021948</v>
      </c>
      <c r="L103" s="7">
        <v>4420601.9596800003</v>
      </c>
      <c r="M103" s="7"/>
      <c r="N103" s="135"/>
      <c r="O103" s="7"/>
      <c r="Q103" s="7">
        <f t="shared" si="6"/>
        <v>8176045.6578861559</v>
      </c>
      <c r="R103" s="7">
        <f t="shared" si="7"/>
        <v>-191188.57211384457</v>
      </c>
      <c r="S103" s="139">
        <f t="shared" si="8"/>
        <v>-2.2849673722333999E-2</v>
      </c>
      <c r="T103" s="139">
        <f t="shared" si="9"/>
        <v>2.2849673722333999E-2</v>
      </c>
      <c r="V103" s="132"/>
      <c r="W103" s="132"/>
      <c r="X103" s="132"/>
      <c r="Y103" s="132"/>
      <c r="Z103" s="132"/>
      <c r="AA103" s="132"/>
      <c r="AB103" s="132"/>
      <c r="AC103" s="132"/>
      <c r="AD103" s="132"/>
    </row>
    <row r="104" spans="1:54">
      <c r="A104" s="2">
        <v>2018</v>
      </c>
      <c r="B104" s="2" t="s">
        <v>8</v>
      </c>
      <c r="C104" s="7">
        <v>8610466.6666666679</v>
      </c>
      <c r="D104" s="7">
        <v>59166.259999999995</v>
      </c>
      <c r="E104" s="7">
        <v>8669632.9266666677</v>
      </c>
      <c r="F104" s="7"/>
      <c r="G104" s="15">
        <v>11</v>
      </c>
      <c r="H104" s="15">
        <v>77.300000000000026</v>
      </c>
      <c r="I104" s="2">
        <v>31</v>
      </c>
      <c r="J104" s="7">
        <v>739.3</v>
      </c>
      <c r="K104" s="7">
        <v>409221.16276348627</v>
      </c>
      <c r="L104" s="7">
        <v>4194517.0176000008</v>
      </c>
      <c r="M104" s="7"/>
      <c r="N104" s="135"/>
      <c r="O104" s="7"/>
      <c r="Q104" s="7">
        <f t="shared" si="6"/>
        <v>8522479.5417000484</v>
      </c>
      <c r="R104" s="7">
        <f t="shared" si="7"/>
        <v>-147153.38496661931</v>
      </c>
      <c r="S104" s="139">
        <f t="shared" si="8"/>
        <v>-1.6973427388603104E-2</v>
      </c>
      <c r="T104" s="139">
        <f t="shared" si="9"/>
        <v>1.6973427388603104E-2</v>
      </c>
      <c r="V104" s="132"/>
      <c r="W104" s="132"/>
      <c r="X104" s="132"/>
      <c r="Y104" s="132"/>
      <c r="Z104" s="132"/>
      <c r="AA104" s="132"/>
      <c r="AB104" s="132"/>
      <c r="AC104" s="132"/>
      <c r="AD104" s="132"/>
    </row>
    <row r="105" spans="1:54">
      <c r="A105" s="2">
        <v>2018</v>
      </c>
      <c r="B105" s="2" t="s">
        <v>9</v>
      </c>
      <c r="C105" s="7">
        <v>9144333.333333334</v>
      </c>
      <c r="D105" s="7">
        <v>47775.59</v>
      </c>
      <c r="E105" s="7">
        <v>9192108.9233333338</v>
      </c>
      <c r="F105" s="7"/>
      <c r="G105" s="15">
        <v>5.7</v>
      </c>
      <c r="H105" s="15">
        <v>80.900000000000006</v>
      </c>
      <c r="I105" s="2">
        <v>31</v>
      </c>
      <c r="J105" s="7">
        <v>747.9</v>
      </c>
      <c r="K105" s="7">
        <v>413922.62930675299</v>
      </c>
      <c r="L105" s="7">
        <v>4725688.9939200003</v>
      </c>
      <c r="M105" s="7"/>
      <c r="N105" s="135"/>
      <c r="O105" s="7"/>
      <c r="Q105" s="7">
        <f t="shared" si="6"/>
        <v>9035782.1787005886</v>
      </c>
      <c r="R105" s="7">
        <f t="shared" si="7"/>
        <v>-156326.74463274516</v>
      </c>
      <c r="S105" s="139">
        <f t="shared" si="8"/>
        <v>-1.7006624479386216E-2</v>
      </c>
      <c r="T105" s="139">
        <f t="shared" si="9"/>
        <v>1.7006624479386216E-2</v>
      </c>
      <c r="V105" s="132"/>
      <c r="W105" s="132"/>
      <c r="X105" s="132"/>
      <c r="Y105" s="132"/>
      <c r="Z105" s="132"/>
      <c r="AA105" s="132"/>
      <c r="AB105" s="132"/>
      <c r="AC105" s="132"/>
      <c r="AD105" s="132"/>
    </row>
    <row r="106" spans="1:54" s="141" customFormat="1">
      <c r="A106" s="2">
        <v>2018</v>
      </c>
      <c r="B106" s="2" t="s">
        <v>10</v>
      </c>
      <c r="C106" s="7">
        <v>8298633.3333333349</v>
      </c>
      <c r="D106" s="7">
        <v>38626.42</v>
      </c>
      <c r="E106" s="7">
        <v>8337259.7533333348</v>
      </c>
      <c r="F106" s="7"/>
      <c r="G106" s="15">
        <v>87.899999999999991</v>
      </c>
      <c r="H106" s="15">
        <v>46.099999999999994</v>
      </c>
      <c r="I106" s="2">
        <v>30</v>
      </c>
      <c r="J106" s="7">
        <v>745.5</v>
      </c>
      <c r="K106" s="7">
        <v>418624.09585001977</v>
      </c>
      <c r="L106" s="7">
        <v>4238331.9321600003</v>
      </c>
      <c r="M106" s="7"/>
      <c r="N106" s="135"/>
      <c r="O106" s="7"/>
      <c r="P106" s="2"/>
      <c r="Q106" s="7">
        <f t="shared" si="6"/>
        <v>8319903.6081253756</v>
      </c>
      <c r="R106" s="7">
        <f t="shared" si="7"/>
        <v>-17356.145207959227</v>
      </c>
      <c r="S106" s="139">
        <f t="shared" si="8"/>
        <v>-2.0817565628826707E-3</v>
      </c>
      <c r="T106" s="139">
        <f t="shared" si="9"/>
        <v>2.0817565628826707E-3</v>
      </c>
      <c r="U106" s="4"/>
      <c r="V106" s="132"/>
      <c r="W106" s="132"/>
      <c r="X106" s="132"/>
      <c r="Y106" s="132"/>
      <c r="Z106" s="132"/>
      <c r="AA106" s="132"/>
      <c r="AB106" s="132"/>
      <c r="AC106" s="132"/>
      <c r="AD106" s="132"/>
      <c r="AE106" s="4"/>
      <c r="AF106" s="4"/>
      <c r="AG106" s="4"/>
      <c r="AH106" s="4"/>
      <c r="AI106" s="4"/>
      <c r="AJ106" s="4"/>
      <c r="AK106" s="4"/>
      <c r="AL106" s="4"/>
      <c r="AM106" s="4"/>
      <c r="AN106" s="4"/>
      <c r="AO106" s="4"/>
      <c r="AP106" s="4"/>
      <c r="AQ106" s="4"/>
      <c r="AR106" s="4"/>
      <c r="AS106" s="4"/>
      <c r="AT106" s="4"/>
      <c r="AU106" s="4"/>
      <c r="AV106" s="4"/>
      <c r="AW106" s="4"/>
      <c r="AX106" s="4"/>
      <c r="AY106" s="4"/>
      <c r="AZ106" s="4"/>
      <c r="BA106" s="4"/>
      <c r="BB106" s="4"/>
    </row>
    <row r="107" spans="1:54" s="141" customFormat="1">
      <c r="A107" s="2">
        <v>2018</v>
      </c>
      <c r="B107" s="2" t="s">
        <v>11</v>
      </c>
      <c r="C107" s="7">
        <v>8833466.6666666679</v>
      </c>
      <c r="D107" s="7">
        <v>21692.31</v>
      </c>
      <c r="E107" s="7">
        <v>8855158.9766666684</v>
      </c>
      <c r="F107" s="7"/>
      <c r="G107" s="15">
        <v>338.7</v>
      </c>
      <c r="H107" s="15">
        <v>7.9</v>
      </c>
      <c r="I107" s="2">
        <v>31</v>
      </c>
      <c r="J107" s="7">
        <v>742.1</v>
      </c>
      <c r="K107" s="7">
        <v>423325.5623932865</v>
      </c>
      <c r="L107" s="7">
        <v>4538667.4560000002</v>
      </c>
      <c r="M107" s="7"/>
      <c r="N107" s="135"/>
      <c r="O107" s="7"/>
      <c r="P107" s="2"/>
      <c r="Q107" s="7">
        <f t="shared" si="6"/>
        <v>8970268.724291034</v>
      </c>
      <c r="R107" s="7">
        <f t="shared" si="7"/>
        <v>115109.74762436561</v>
      </c>
      <c r="S107" s="139">
        <f t="shared" si="8"/>
        <v>1.2999173467995282E-2</v>
      </c>
      <c r="T107" s="139">
        <f t="shared" si="9"/>
        <v>1.2999173467995282E-2</v>
      </c>
      <c r="U107" s="4"/>
      <c r="V107" s="132"/>
      <c r="W107" s="132"/>
      <c r="X107" s="132"/>
      <c r="Y107" s="132"/>
      <c r="Z107" s="132"/>
      <c r="AA107" s="132"/>
      <c r="AB107" s="132"/>
      <c r="AC107" s="132"/>
      <c r="AD107" s="132"/>
      <c r="AE107" s="4"/>
      <c r="AF107" s="4"/>
      <c r="AG107" s="4"/>
      <c r="AH107" s="4"/>
      <c r="AI107" s="4"/>
      <c r="AJ107" s="4"/>
      <c r="AK107" s="4"/>
      <c r="AL107" s="4"/>
      <c r="AM107" s="4"/>
      <c r="AN107" s="4"/>
      <c r="AO107" s="4"/>
      <c r="AP107" s="4"/>
      <c r="AQ107" s="4"/>
      <c r="AR107" s="4"/>
      <c r="AS107" s="4"/>
      <c r="AT107" s="4"/>
      <c r="AU107" s="4"/>
      <c r="AV107" s="4"/>
      <c r="AW107" s="4"/>
      <c r="AX107" s="4"/>
      <c r="AY107" s="4"/>
      <c r="AZ107" s="4"/>
      <c r="BA107" s="4"/>
      <c r="BB107" s="4"/>
    </row>
    <row r="108" spans="1:54" s="141" customFormat="1">
      <c r="A108" s="2">
        <v>2018</v>
      </c>
      <c r="B108" s="2" t="s">
        <v>12</v>
      </c>
      <c r="C108" s="7">
        <v>8985166.6666666679</v>
      </c>
      <c r="D108" s="7">
        <v>4955.49</v>
      </c>
      <c r="E108" s="7">
        <v>8990122.1566666681</v>
      </c>
      <c r="F108" s="7"/>
      <c r="G108" s="15">
        <v>568.90000000000009</v>
      </c>
      <c r="H108" s="15">
        <v>0</v>
      </c>
      <c r="I108" s="2">
        <v>30</v>
      </c>
      <c r="J108" s="7">
        <v>745.7</v>
      </c>
      <c r="K108" s="7">
        <v>428027.02893655322</v>
      </c>
      <c r="L108" s="7">
        <v>4247842.6252800003</v>
      </c>
      <c r="M108" s="7"/>
      <c r="N108" s="135"/>
      <c r="O108" s="7"/>
      <c r="P108" s="2"/>
      <c r="Q108" s="7">
        <f t="shared" si="6"/>
        <v>9099632.190803932</v>
      </c>
      <c r="R108" s="7">
        <f t="shared" si="7"/>
        <v>109510.03413726389</v>
      </c>
      <c r="S108" s="139">
        <f t="shared" si="8"/>
        <v>1.2181150848551731E-2</v>
      </c>
      <c r="T108" s="139">
        <f t="shared" si="9"/>
        <v>1.2181150848551731E-2</v>
      </c>
      <c r="U108" s="4"/>
      <c r="V108" s="132"/>
      <c r="W108" s="132"/>
      <c r="X108" s="132"/>
      <c r="Y108" s="132"/>
      <c r="Z108" s="132"/>
      <c r="AA108" s="132"/>
      <c r="AB108" s="132"/>
      <c r="AC108" s="132"/>
      <c r="AD108" s="132"/>
      <c r="AE108" s="4"/>
      <c r="AF108" s="4"/>
      <c r="AG108" s="4"/>
      <c r="AH108" s="4"/>
      <c r="AI108" s="4"/>
      <c r="AJ108" s="4"/>
      <c r="AK108" s="4"/>
      <c r="AL108" s="4"/>
      <c r="AM108" s="4"/>
      <c r="AN108" s="4"/>
      <c r="AO108" s="4"/>
      <c r="AP108" s="4"/>
      <c r="AQ108" s="4"/>
      <c r="AR108" s="4"/>
      <c r="AS108" s="4"/>
      <c r="AT108" s="4"/>
      <c r="AU108" s="4"/>
      <c r="AV108" s="4"/>
      <c r="AW108" s="4"/>
      <c r="AX108" s="4"/>
      <c r="AY108" s="4"/>
      <c r="AZ108" s="4"/>
      <c r="BA108" s="4"/>
      <c r="BB108" s="4"/>
    </row>
    <row r="109" spans="1:54" s="141" customFormat="1">
      <c r="A109" s="2">
        <v>2018</v>
      </c>
      <c r="B109" s="2" t="s">
        <v>13</v>
      </c>
      <c r="C109" s="7">
        <v>8669133.333333334</v>
      </c>
      <c r="D109" s="7">
        <v>5517.38</v>
      </c>
      <c r="E109" s="7">
        <v>8674650.7133333348</v>
      </c>
      <c r="F109" s="7"/>
      <c r="G109" s="15">
        <v>623.70000000000005</v>
      </c>
      <c r="H109" s="15">
        <v>0</v>
      </c>
      <c r="I109" s="2">
        <v>31</v>
      </c>
      <c r="J109" s="7">
        <v>751</v>
      </c>
      <c r="K109" s="7">
        <v>432728.49547982001</v>
      </c>
      <c r="L109" s="7">
        <v>3518108.4499200005</v>
      </c>
      <c r="M109" s="7"/>
      <c r="N109" s="135"/>
      <c r="O109" s="7"/>
      <c r="P109" s="2"/>
      <c r="Q109" s="7">
        <f t="shared" si="6"/>
        <v>8708085.5985361896</v>
      </c>
      <c r="R109" s="7">
        <f t="shared" si="7"/>
        <v>33434.885202854872</v>
      </c>
      <c r="S109" s="139">
        <f t="shared" si="8"/>
        <v>3.8543206300472622E-3</v>
      </c>
      <c r="T109" s="139">
        <f t="shared" si="9"/>
        <v>3.8543206300472622E-3</v>
      </c>
      <c r="U109" s="4"/>
      <c r="V109" s="132"/>
      <c r="W109" s="132"/>
      <c r="X109" s="132"/>
      <c r="Y109" s="132"/>
      <c r="Z109" s="132"/>
      <c r="AA109" s="132"/>
      <c r="AB109" s="132"/>
      <c r="AC109" s="132"/>
      <c r="AD109" s="132"/>
      <c r="AE109" s="4"/>
      <c r="AF109" s="4"/>
      <c r="AG109" s="4"/>
      <c r="AH109" s="4"/>
      <c r="AI109" s="4"/>
      <c r="AJ109" s="4"/>
      <c r="AK109" s="4"/>
      <c r="AL109" s="4"/>
      <c r="AM109" s="4"/>
      <c r="AN109" s="4"/>
      <c r="AO109" s="4"/>
      <c r="AP109" s="4"/>
      <c r="AQ109" s="4"/>
      <c r="AR109" s="4"/>
      <c r="AS109" s="4"/>
      <c r="AT109" s="4"/>
      <c r="AU109" s="4"/>
      <c r="AV109" s="4"/>
      <c r="AW109" s="4"/>
      <c r="AX109" s="4"/>
      <c r="AY109" s="4"/>
      <c r="AZ109" s="4"/>
      <c r="BA109" s="4"/>
      <c r="BB109" s="4"/>
    </row>
    <row r="110" spans="1:54" s="141" customFormat="1">
      <c r="A110" s="134">
        <v>2019</v>
      </c>
      <c r="B110" s="134" t="s">
        <v>2</v>
      </c>
      <c r="C110" s="7">
        <v>9946980</v>
      </c>
      <c r="D110" s="7">
        <v>9214.18</v>
      </c>
      <c r="E110" s="7">
        <v>9956194.1799999997</v>
      </c>
      <c r="F110" s="7"/>
      <c r="G110" s="15">
        <v>848.80000000000007</v>
      </c>
      <c r="H110" s="15">
        <v>0</v>
      </c>
      <c r="I110" s="2">
        <v>31</v>
      </c>
      <c r="J110" s="7">
        <v>748.7</v>
      </c>
      <c r="K110" s="7">
        <v>437188.43785016931</v>
      </c>
      <c r="L110" s="7">
        <v>4403212.0070400005</v>
      </c>
      <c r="M110" s="7"/>
      <c r="N110" s="135"/>
      <c r="O110" s="7"/>
      <c r="P110" s="2"/>
      <c r="Q110" s="7">
        <f t="shared" si="6"/>
        <v>10085438.953437313</v>
      </c>
      <c r="R110" s="7">
        <f t="shared" si="7"/>
        <v>129244.77343731374</v>
      </c>
      <c r="S110" s="139">
        <f t="shared" si="8"/>
        <v>1.2981343182010311E-2</v>
      </c>
      <c r="T110" s="139">
        <f t="shared" si="9"/>
        <v>1.2981343182010311E-2</v>
      </c>
      <c r="U110" s="4"/>
      <c r="V110" s="132"/>
      <c r="W110" s="132"/>
      <c r="X110" s="132"/>
      <c r="Y110" s="132"/>
      <c r="Z110" s="132"/>
      <c r="AA110" s="132"/>
      <c r="AB110" s="132"/>
      <c r="AC110" s="132"/>
      <c r="AD110" s="132"/>
      <c r="AE110" s="4"/>
      <c r="AF110" s="4"/>
      <c r="AG110" s="4"/>
      <c r="AH110" s="4"/>
      <c r="AI110" s="4"/>
      <c r="AJ110" s="4"/>
      <c r="AK110" s="4"/>
      <c r="AL110" s="4"/>
      <c r="AM110" s="4"/>
      <c r="AN110" s="4"/>
      <c r="AO110" s="4"/>
      <c r="AP110" s="4"/>
      <c r="AQ110" s="4"/>
      <c r="AR110" s="4"/>
      <c r="AS110" s="4"/>
      <c r="AT110" s="4"/>
      <c r="AU110" s="4"/>
      <c r="AV110" s="4"/>
      <c r="AW110" s="4"/>
      <c r="AX110" s="4"/>
      <c r="AY110" s="4"/>
      <c r="AZ110" s="4"/>
      <c r="BA110" s="4"/>
      <c r="BB110" s="4"/>
    </row>
    <row r="111" spans="1:54" s="141" customFormat="1">
      <c r="A111" s="2">
        <v>2019</v>
      </c>
      <c r="B111" s="2" t="s">
        <v>3</v>
      </c>
      <c r="C111" s="7">
        <v>8808860</v>
      </c>
      <c r="D111" s="7">
        <v>12654.52</v>
      </c>
      <c r="E111" s="7">
        <v>8821514.5199999996</v>
      </c>
      <c r="F111" s="7"/>
      <c r="G111" s="15">
        <v>690</v>
      </c>
      <c r="H111" s="15">
        <v>0</v>
      </c>
      <c r="I111" s="2">
        <v>28</v>
      </c>
      <c r="J111" s="7">
        <v>741.3</v>
      </c>
      <c r="K111" s="7">
        <v>441648.38022051868</v>
      </c>
      <c r="L111" s="7">
        <v>3946641.8342400002</v>
      </c>
      <c r="M111" s="7"/>
      <c r="N111" s="135"/>
      <c r="O111" s="7"/>
      <c r="P111" s="2"/>
      <c r="Q111" s="7">
        <f t="shared" si="6"/>
        <v>8864589.687291041</v>
      </c>
      <c r="R111" s="7">
        <f t="shared" si="7"/>
        <v>43075.167291041464</v>
      </c>
      <c r="S111" s="139">
        <f t="shared" si="8"/>
        <v>4.8829673400618591E-3</v>
      </c>
      <c r="T111" s="139">
        <f t="shared" si="9"/>
        <v>4.8829673400618591E-3</v>
      </c>
      <c r="U111" s="4"/>
      <c r="V111" s="132"/>
      <c r="W111" s="132"/>
      <c r="X111" s="132"/>
      <c r="Y111" s="132"/>
      <c r="Z111" s="132"/>
      <c r="AA111" s="132"/>
      <c r="AB111" s="132"/>
      <c r="AC111" s="132"/>
      <c r="AD111" s="132"/>
      <c r="AE111" s="4"/>
      <c r="AF111" s="4"/>
      <c r="AG111" s="4"/>
      <c r="AH111" s="4"/>
      <c r="AI111" s="4"/>
      <c r="AJ111" s="4"/>
      <c r="AK111" s="4"/>
      <c r="AL111" s="4"/>
      <c r="AM111" s="4"/>
      <c r="AN111" s="4"/>
      <c r="AO111" s="4"/>
      <c r="AP111" s="4"/>
      <c r="AQ111" s="4"/>
      <c r="AR111" s="4"/>
      <c r="AS111" s="4"/>
      <c r="AT111" s="4"/>
      <c r="AU111" s="4"/>
      <c r="AV111" s="4"/>
      <c r="AW111" s="4"/>
      <c r="AX111" s="4"/>
      <c r="AY111" s="4"/>
      <c r="AZ111" s="4"/>
      <c r="BA111" s="4"/>
      <c r="BB111" s="4"/>
    </row>
    <row r="112" spans="1:54" s="141" customFormat="1">
      <c r="A112" s="2">
        <v>2019</v>
      </c>
      <c r="B112" s="2" t="s">
        <v>4</v>
      </c>
      <c r="C112" s="7">
        <v>9361540</v>
      </c>
      <c r="D112" s="7">
        <v>35597.689999999995</v>
      </c>
      <c r="E112" s="7">
        <v>9397137.6899999995</v>
      </c>
      <c r="F112" s="7"/>
      <c r="G112" s="15">
        <v>674.125</v>
      </c>
      <c r="H112" s="15">
        <v>0</v>
      </c>
      <c r="I112" s="2">
        <v>31</v>
      </c>
      <c r="J112" s="7">
        <v>733.8</v>
      </c>
      <c r="K112" s="7">
        <v>446108.32259086805</v>
      </c>
      <c r="L112" s="7">
        <v>4369392.9532800009</v>
      </c>
      <c r="M112" s="7"/>
      <c r="N112" s="135"/>
      <c r="O112" s="7"/>
      <c r="P112" s="2"/>
      <c r="Q112" s="7">
        <f t="shared" si="6"/>
        <v>9562279.5035904571</v>
      </c>
      <c r="R112" s="7">
        <f t="shared" si="7"/>
        <v>165141.81359045766</v>
      </c>
      <c r="S112" s="139">
        <f t="shared" si="8"/>
        <v>1.7573629230334037E-2</v>
      </c>
      <c r="T112" s="139">
        <f t="shared" si="9"/>
        <v>1.7573629230334037E-2</v>
      </c>
      <c r="U112" s="4"/>
      <c r="V112" s="132"/>
      <c r="W112" s="132"/>
      <c r="X112" s="132"/>
      <c r="Y112" s="132"/>
      <c r="Z112" s="132"/>
      <c r="AA112" s="132"/>
      <c r="AB112" s="132"/>
      <c r="AC112" s="132"/>
      <c r="AD112" s="132"/>
      <c r="AE112" s="4"/>
      <c r="AF112" s="4"/>
      <c r="AG112" s="4"/>
      <c r="AH112" s="4"/>
      <c r="AI112" s="4"/>
      <c r="AJ112" s="4"/>
      <c r="AK112" s="4"/>
      <c r="AL112" s="4"/>
      <c r="AM112" s="4"/>
      <c r="AN112" s="4"/>
      <c r="AO112" s="4"/>
      <c r="AP112" s="4"/>
      <c r="AQ112" s="4"/>
      <c r="AR112" s="4"/>
      <c r="AS112" s="4"/>
      <c r="AT112" s="4"/>
      <c r="AU112" s="4"/>
      <c r="AV112" s="4"/>
      <c r="AW112" s="4"/>
      <c r="AX112" s="4"/>
      <c r="AY112" s="4"/>
      <c r="AZ112" s="4"/>
      <c r="BA112" s="4"/>
      <c r="BB112" s="4"/>
    </row>
    <row r="113" spans="1:54" s="141" customFormat="1">
      <c r="A113" s="2">
        <v>2019</v>
      </c>
      <c r="B113" s="2" t="s">
        <v>5</v>
      </c>
      <c r="C113" s="7">
        <v>8484459.9999999981</v>
      </c>
      <c r="D113" s="7">
        <v>35834</v>
      </c>
      <c r="E113" s="7">
        <v>8520293.9999999981</v>
      </c>
      <c r="F113" s="7"/>
      <c r="G113" s="15">
        <v>412.49999999999994</v>
      </c>
      <c r="H113" s="15">
        <v>0</v>
      </c>
      <c r="I113" s="2">
        <v>30</v>
      </c>
      <c r="J113" s="7">
        <v>734</v>
      </c>
      <c r="K113" s="7">
        <v>450568.26496121736</v>
      </c>
      <c r="L113" s="7">
        <v>4248725.9011200005</v>
      </c>
      <c r="M113" s="7"/>
      <c r="N113" s="135"/>
      <c r="O113" s="7"/>
      <c r="P113" s="2"/>
      <c r="Q113" s="7">
        <f t="shared" si="6"/>
        <v>8642505.2626648694</v>
      </c>
      <c r="R113" s="7">
        <f t="shared" si="7"/>
        <v>122211.26266487129</v>
      </c>
      <c r="S113" s="139">
        <f t="shared" si="8"/>
        <v>1.4343549960232748E-2</v>
      </c>
      <c r="T113" s="139">
        <f t="shared" si="9"/>
        <v>1.4343549960232748E-2</v>
      </c>
      <c r="U113" s="4"/>
      <c r="V113" s="132"/>
      <c r="W113" s="132"/>
      <c r="X113" s="132"/>
      <c r="Y113" s="132"/>
      <c r="Z113" s="132"/>
      <c r="AA113" s="132"/>
      <c r="AB113" s="132"/>
      <c r="AC113" s="132"/>
      <c r="AD113" s="132"/>
      <c r="AE113" s="4"/>
      <c r="AF113" s="4"/>
      <c r="AG113" s="4"/>
      <c r="AH113" s="4"/>
      <c r="AI113" s="4"/>
      <c r="AJ113" s="4"/>
      <c r="AK113" s="4"/>
      <c r="AL113" s="4"/>
      <c r="AM113" s="4"/>
      <c r="AN113" s="4"/>
      <c r="AO113" s="4"/>
      <c r="AP113" s="4"/>
      <c r="AQ113" s="4"/>
      <c r="AR113" s="4"/>
      <c r="AS113" s="4"/>
      <c r="AT113" s="4"/>
      <c r="AU113" s="4"/>
      <c r="AV113" s="4"/>
      <c r="AW113" s="4"/>
      <c r="AX113" s="4"/>
      <c r="AY113" s="4"/>
      <c r="AZ113" s="4"/>
      <c r="BA113" s="4"/>
      <c r="BB113" s="4"/>
    </row>
    <row r="114" spans="1:54" s="141" customFormat="1">
      <c r="A114" s="2">
        <v>2019</v>
      </c>
      <c r="B114" s="2" t="s">
        <v>6</v>
      </c>
      <c r="C114" s="7">
        <v>8296559.9999999991</v>
      </c>
      <c r="D114" s="7">
        <v>44721.200000000004</v>
      </c>
      <c r="E114" s="7">
        <v>8341281.1999999993</v>
      </c>
      <c r="F114" s="7"/>
      <c r="G114" s="15">
        <v>227.05000000000004</v>
      </c>
      <c r="H114" s="15">
        <v>1</v>
      </c>
      <c r="I114" s="2">
        <v>31</v>
      </c>
      <c r="J114" s="7">
        <v>747.1</v>
      </c>
      <c r="K114" s="7">
        <v>455028.20733156672</v>
      </c>
      <c r="L114" s="7">
        <v>4400982.5587200001</v>
      </c>
      <c r="M114" s="7"/>
      <c r="N114" s="135"/>
      <c r="O114" s="7"/>
      <c r="P114" s="2"/>
      <c r="Q114" s="7">
        <f t="shared" si="6"/>
        <v>8451208.0037524048</v>
      </c>
      <c r="R114" s="7">
        <f t="shared" si="7"/>
        <v>109926.80375240557</v>
      </c>
      <c r="S114" s="139">
        <f t="shared" si="8"/>
        <v>1.3178647394408136E-2</v>
      </c>
      <c r="T114" s="139">
        <f t="shared" si="9"/>
        <v>1.3178647394408136E-2</v>
      </c>
      <c r="U114" s="4"/>
      <c r="V114" s="132"/>
      <c r="W114" s="132"/>
      <c r="X114" s="132"/>
      <c r="Y114" s="132"/>
      <c r="Z114" s="132"/>
      <c r="AA114" s="132"/>
      <c r="AB114" s="132"/>
      <c r="AC114" s="132"/>
      <c r="AD114" s="132"/>
      <c r="AE114" s="4"/>
      <c r="AF114" s="4"/>
      <c r="AG114" s="4"/>
      <c r="AH114" s="4"/>
      <c r="AI114" s="4"/>
      <c r="AJ114" s="4"/>
      <c r="AK114" s="4"/>
      <c r="AL114" s="4"/>
      <c r="AM114" s="4"/>
      <c r="AN114" s="4"/>
      <c r="AO114" s="4"/>
      <c r="AP114" s="4"/>
      <c r="AQ114" s="4"/>
      <c r="AR114" s="4"/>
      <c r="AS114" s="4"/>
      <c r="AT114" s="4"/>
      <c r="AU114" s="4"/>
      <c r="AV114" s="4"/>
      <c r="AW114" s="4"/>
      <c r="AX114" s="4"/>
      <c r="AY114" s="4"/>
      <c r="AZ114" s="4"/>
      <c r="BA114" s="4"/>
      <c r="BB114" s="4"/>
    </row>
    <row r="115" spans="1:54" s="141" customFormat="1">
      <c r="A115" s="2">
        <v>2019</v>
      </c>
      <c r="B115" s="2" t="s">
        <v>7</v>
      </c>
      <c r="C115" s="7">
        <v>7886820</v>
      </c>
      <c r="D115" s="7">
        <v>55081.819999999992</v>
      </c>
      <c r="E115" s="7">
        <v>7941901.8200000003</v>
      </c>
      <c r="F115" s="7"/>
      <c r="G115" s="15">
        <v>70.2</v>
      </c>
      <c r="H115" s="15">
        <v>16.399999999999999</v>
      </c>
      <c r="I115" s="2">
        <v>30</v>
      </c>
      <c r="J115" s="7">
        <v>762.3</v>
      </c>
      <c r="K115" s="7">
        <v>459488.14970191603</v>
      </c>
      <c r="L115" s="7">
        <v>4127497.0646400009</v>
      </c>
      <c r="M115" s="7"/>
      <c r="N115" s="135"/>
      <c r="O115" s="7"/>
      <c r="P115" s="2"/>
      <c r="Q115" s="7">
        <f t="shared" si="6"/>
        <v>7847343.4486468639</v>
      </c>
      <c r="R115" s="7">
        <f t="shared" si="7"/>
        <v>-94558.371353136376</v>
      </c>
      <c r="S115" s="139">
        <f t="shared" si="8"/>
        <v>-1.1906262945106058E-2</v>
      </c>
      <c r="T115" s="139">
        <f t="shared" si="9"/>
        <v>1.1906262945106058E-2</v>
      </c>
      <c r="U115" s="4"/>
      <c r="V115" s="132"/>
      <c r="W115" s="132"/>
      <c r="X115" s="132"/>
      <c r="Y115" s="132"/>
      <c r="Z115" s="132"/>
      <c r="AA115" s="132"/>
      <c r="AB115" s="132"/>
      <c r="AC115" s="132"/>
      <c r="AD115" s="132"/>
      <c r="AE115" s="4"/>
      <c r="AF115" s="4"/>
      <c r="AG115" s="4"/>
      <c r="AH115" s="4"/>
      <c r="AI115" s="4"/>
      <c r="AJ115" s="4"/>
      <c r="AK115" s="4"/>
      <c r="AL115" s="4"/>
      <c r="AM115" s="4"/>
      <c r="AN115" s="4"/>
      <c r="AO115" s="4"/>
      <c r="AP115" s="4"/>
      <c r="AQ115" s="4"/>
      <c r="AR115" s="4"/>
      <c r="AS115" s="4"/>
      <c r="AT115" s="4"/>
      <c r="AU115" s="4"/>
      <c r="AV115" s="4"/>
      <c r="AW115" s="4"/>
      <c r="AX115" s="4"/>
      <c r="AY115" s="4"/>
      <c r="AZ115" s="4"/>
      <c r="BA115" s="4"/>
      <c r="BB115" s="4"/>
    </row>
    <row r="116" spans="1:54" s="141" customFormat="1">
      <c r="A116" s="2">
        <v>2019</v>
      </c>
      <c r="B116" s="2" t="s">
        <v>8</v>
      </c>
      <c r="C116" s="7">
        <v>8759520</v>
      </c>
      <c r="D116" s="7">
        <v>61228.27</v>
      </c>
      <c r="E116" s="7">
        <v>8820748.2699999996</v>
      </c>
      <c r="F116" s="7"/>
      <c r="G116" s="15">
        <v>6.6000000000000005</v>
      </c>
      <c r="H116" s="15">
        <v>92.500000000000014</v>
      </c>
      <c r="I116" s="2">
        <v>31</v>
      </c>
      <c r="J116" s="7">
        <v>764.2</v>
      </c>
      <c r="K116" s="7">
        <v>463948.0920722654</v>
      </c>
      <c r="L116" s="7">
        <v>4161543.8371200003</v>
      </c>
      <c r="M116" s="7"/>
      <c r="N116" s="135"/>
      <c r="O116" s="7"/>
      <c r="P116" s="2"/>
      <c r="Q116" s="7">
        <f t="shared" si="6"/>
        <v>8604315.4450247884</v>
      </c>
      <c r="R116" s="7">
        <f t="shared" si="7"/>
        <v>-216432.82497521117</v>
      </c>
      <c r="S116" s="139">
        <f t="shared" si="8"/>
        <v>-2.4536787396066476E-2</v>
      </c>
      <c r="T116" s="139">
        <f t="shared" si="9"/>
        <v>2.4536787396066476E-2</v>
      </c>
      <c r="U116" s="4"/>
      <c r="V116" s="132"/>
      <c r="W116" s="132"/>
      <c r="X116" s="132"/>
      <c r="Y116" s="132"/>
      <c r="Z116" s="132"/>
      <c r="AA116" s="132"/>
      <c r="AB116" s="132"/>
      <c r="AC116" s="132"/>
      <c r="AD116" s="132"/>
      <c r="AE116" s="4"/>
      <c r="AF116" s="4"/>
      <c r="AG116" s="4"/>
      <c r="AH116" s="4"/>
      <c r="AI116" s="4"/>
      <c r="AJ116" s="4"/>
      <c r="AK116" s="4"/>
      <c r="AL116" s="4"/>
      <c r="AM116" s="4"/>
      <c r="AN116" s="4"/>
      <c r="AO116" s="4"/>
      <c r="AP116" s="4"/>
      <c r="AQ116" s="4"/>
      <c r="AR116" s="4"/>
      <c r="AS116" s="4"/>
      <c r="AT116" s="4"/>
      <c r="AU116" s="4"/>
      <c r="AV116" s="4"/>
      <c r="AW116" s="4"/>
      <c r="AX116" s="4"/>
      <c r="AY116" s="4"/>
      <c r="AZ116" s="4"/>
      <c r="BA116" s="4"/>
      <c r="BB116" s="4"/>
    </row>
    <row r="117" spans="1:54" s="141" customFormat="1">
      <c r="A117" s="2">
        <v>2019</v>
      </c>
      <c r="B117" s="2" t="s">
        <v>9</v>
      </c>
      <c r="C117" s="7">
        <v>8748640</v>
      </c>
      <c r="D117" s="7">
        <v>57103.76</v>
      </c>
      <c r="E117" s="7">
        <v>8805743.7599999998</v>
      </c>
      <c r="F117" s="7"/>
      <c r="G117" s="15">
        <v>25.1</v>
      </c>
      <c r="H117" s="15">
        <v>33.300000000000004</v>
      </c>
      <c r="I117" s="2">
        <v>31</v>
      </c>
      <c r="J117" s="7">
        <v>760.2</v>
      </c>
      <c r="K117" s="7">
        <v>468408.03444261471</v>
      </c>
      <c r="L117" s="7">
        <v>4590395.5161600001</v>
      </c>
      <c r="M117" s="7"/>
      <c r="N117" s="135"/>
      <c r="O117" s="7"/>
      <c r="P117" s="2"/>
      <c r="Q117" s="7">
        <f t="shared" si="6"/>
        <v>8429884.113707684</v>
      </c>
      <c r="R117" s="7">
        <f t="shared" si="7"/>
        <v>-375859.6462923158</v>
      </c>
      <c r="S117" s="139">
        <f t="shared" si="8"/>
        <v>-4.2683463945391457E-2</v>
      </c>
      <c r="T117" s="139">
        <f t="shared" si="9"/>
        <v>4.2683463945391457E-2</v>
      </c>
      <c r="U117" s="4"/>
      <c r="V117" s="132"/>
      <c r="W117" s="132"/>
      <c r="X117" s="132"/>
      <c r="Y117" s="132"/>
      <c r="Z117" s="132"/>
      <c r="AA117" s="132"/>
      <c r="AB117" s="132"/>
      <c r="AC117" s="132"/>
      <c r="AD117" s="132"/>
      <c r="AE117" s="4"/>
      <c r="AF117" s="4"/>
      <c r="AG117" s="4"/>
      <c r="AH117" s="4"/>
      <c r="AI117" s="4"/>
      <c r="AJ117" s="4"/>
      <c r="AK117" s="4"/>
      <c r="AL117" s="4"/>
      <c r="AM117" s="4"/>
      <c r="AN117" s="4"/>
      <c r="AO117" s="4"/>
      <c r="AP117" s="4"/>
      <c r="AQ117" s="4"/>
      <c r="AR117" s="4"/>
      <c r="AS117" s="4"/>
      <c r="AT117" s="4"/>
      <c r="AU117" s="4"/>
      <c r="AV117" s="4"/>
      <c r="AW117" s="4"/>
      <c r="AX117" s="4"/>
      <c r="AY117" s="4"/>
      <c r="AZ117" s="4"/>
      <c r="BA117" s="4"/>
      <c r="BB117" s="4"/>
    </row>
    <row r="118" spans="1:54" s="141" customFormat="1">
      <c r="A118" s="2">
        <v>2019</v>
      </c>
      <c r="B118" s="2" t="s">
        <v>10</v>
      </c>
      <c r="C118" s="7">
        <v>8164120</v>
      </c>
      <c r="D118" s="7">
        <v>36922.69</v>
      </c>
      <c r="E118" s="7">
        <v>8201042.6900000004</v>
      </c>
      <c r="F118" s="7"/>
      <c r="G118" s="15">
        <v>90.899999999999991</v>
      </c>
      <c r="H118" s="15">
        <v>13.200000000000001</v>
      </c>
      <c r="I118" s="2">
        <v>30</v>
      </c>
      <c r="J118" s="7">
        <v>756.5</v>
      </c>
      <c r="K118" s="7">
        <v>472867.97681296407</v>
      </c>
      <c r="L118" s="7">
        <v>4357474.9632000001</v>
      </c>
      <c r="M118" s="7"/>
      <c r="N118" s="135"/>
      <c r="O118" s="7"/>
      <c r="P118" s="2"/>
      <c r="Q118" s="7">
        <f t="shared" si="6"/>
        <v>8048752.0754539073</v>
      </c>
      <c r="R118" s="7">
        <f t="shared" si="7"/>
        <v>-152290.61454609316</v>
      </c>
      <c r="S118" s="139">
        <f t="shared" si="8"/>
        <v>-1.8569664895390657E-2</v>
      </c>
      <c r="T118" s="139">
        <f t="shared" si="9"/>
        <v>1.8569664895390657E-2</v>
      </c>
      <c r="U118" s="4"/>
      <c r="V118" s="132"/>
      <c r="W118" s="132"/>
      <c r="X118" s="132"/>
      <c r="Y118" s="132"/>
      <c r="Z118" s="132"/>
      <c r="AA118" s="132"/>
      <c r="AB118" s="132"/>
      <c r="AC118" s="132"/>
      <c r="AD118" s="132"/>
      <c r="AE118" s="4"/>
      <c r="AF118" s="4"/>
      <c r="AG118" s="4"/>
      <c r="AH118" s="4"/>
      <c r="AI118" s="4"/>
      <c r="AJ118" s="4"/>
      <c r="AK118" s="4"/>
      <c r="AL118" s="4"/>
      <c r="AM118" s="4"/>
      <c r="AN118" s="4"/>
      <c r="AO118" s="4"/>
      <c r="AP118" s="4"/>
      <c r="AQ118" s="4"/>
      <c r="AR118" s="4"/>
      <c r="AS118" s="4"/>
      <c r="AT118" s="4"/>
      <c r="AU118" s="4"/>
      <c r="AV118" s="4"/>
      <c r="AW118" s="4"/>
      <c r="AX118" s="4"/>
      <c r="AY118" s="4"/>
      <c r="AZ118" s="4"/>
      <c r="BA118" s="4"/>
      <c r="BB118" s="4"/>
    </row>
    <row r="119" spans="1:54" s="141" customFormat="1">
      <c r="A119" s="2">
        <v>2019</v>
      </c>
      <c r="B119" s="2" t="s">
        <v>11</v>
      </c>
      <c r="C119" s="7">
        <v>8548680</v>
      </c>
      <c r="D119" s="7">
        <v>29568.800000000003</v>
      </c>
      <c r="E119" s="7">
        <v>8578248.8000000007</v>
      </c>
      <c r="F119" s="7"/>
      <c r="G119" s="15">
        <v>293.8</v>
      </c>
      <c r="H119" s="15">
        <v>2.1</v>
      </c>
      <c r="I119" s="2">
        <v>31</v>
      </c>
      <c r="J119" s="7">
        <v>760.7</v>
      </c>
      <c r="K119" s="7">
        <v>477327.91918331338</v>
      </c>
      <c r="L119" s="7">
        <v>4416877.5811200002</v>
      </c>
      <c r="M119" s="7"/>
      <c r="N119" s="135"/>
      <c r="O119" s="7"/>
      <c r="P119" s="2"/>
      <c r="Q119" s="7">
        <f t="shared" si="6"/>
        <v>8643888.566689441</v>
      </c>
      <c r="R119" s="7">
        <f t="shared" si="7"/>
        <v>65639.766689440235</v>
      </c>
      <c r="S119" s="139">
        <f t="shared" si="8"/>
        <v>7.6518842271676973E-3</v>
      </c>
      <c r="T119" s="139">
        <f t="shared" si="9"/>
        <v>7.6518842271676973E-3</v>
      </c>
      <c r="U119" s="4"/>
      <c r="V119" s="132"/>
      <c r="W119" s="132"/>
      <c r="X119" s="132"/>
      <c r="Y119" s="132"/>
      <c r="Z119" s="132"/>
      <c r="AA119" s="132"/>
      <c r="AB119" s="132"/>
      <c r="AC119" s="132"/>
      <c r="AD119" s="132"/>
      <c r="AE119" s="4"/>
      <c r="AF119" s="4"/>
      <c r="AG119" s="4"/>
      <c r="AH119" s="4"/>
      <c r="AI119" s="4"/>
      <c r="AJ119" s="4"/>
      <c r="AK119" s="4"/>
      <c r="AL119" s="4"/>
      <c r="AM119" s="4"/>
      <c r="AN119" s="4"/>
      <c r="AO119" s="4"/>
      <c r="AP119" s="4"/>
      <c r="AQ119" s="4"/>
      <c r="AR119" s="4"/>
      <c r="AS119" s="4"/>
      <c r="AT119" s="4"/>
      <c r="AU119" s="4"/>
      <c r="AV119" s="4"/>
      <c r="AW119" s="4"/>
      <c r="AX119" s="4"/>
      <c r="AY119" s="4"/>
      <c r="AZ119" s="4"/>
      <c r="BA119" s="4"/>
      <c r="BB119" s="4"/>
    </row>
    <row r="120" spans="1:54" s="141" customFormat="1">
      <c r="A120" s="2">
        <v>2019</v>
      </c>
      <c r="B120" s="2" t="s">
        <v>12</v>
      </c>
      <c r="C120" s="7">
        <v>8807700</v>
      </c>
      <c r="D120" s="7">
        <v>8600.64</v>
      </c>
      <c r="E120" s="7">
        <v>8816300.6400000006</v>
      </c>
      <c r="F120" s="7"/>
      <c r="G120" s="15">
        <v>576.79999999999984</v>
      </c>
      <c r="H120" s="15">
        <v>0</v>
      </c>
      <c r="I120" s="2">
        <v>30</v>
      </c>
      <c r="J120" s="7">
        <v>758.4</v>
      </c>
      <c r="K120" s="7">
        <v>481787.86155366275</v>
      </c>
      <c r="L120" s="7">
        <v>4037559.1459200005</v>
      </c>
      <c r="M120" s="7"/>
      <c r="N120" s="135"/>
      <c r="O120" s="7"/>
      <c r="P120" s="2"/>
      <c r="Q120" s="7">
        <f t="shared" si="6"/>
        <v>8878569.2153262496</v>
      </c>
      <c r="R120" s="7">
        <f t="shared" si="7"/>
        <v>62268.575326249003</v>
      </c>
      <c r="S120" s="139">
        <f t="shared" si="8"/>
        <v>7.0628915538262539E-3</v>
      </c>
      <c r="T120" s="139">
        <f t="shared" si="9"/>
        <v>7.0628915538262539E-3</v>
      </c>
      <c r="U120" s="4"/>
      <c r="V120" s="132"/>
      <c r="W120" s="132"/>
      <c r="X120" s="132"/>
      <c r="Y120" s="132"/>
      <c r="Z120" s="132"/>
      <c r="AA120" s="132"/>
      <c r="AB120" s="132"/>
      <c r="AC120" s="132"/>
      <c r="AD120" s="132"/>
      <c r="AE120" s="4"/>
      <c r="AF120" s="4"/>
      <c r="AG120" s="4"/>
      <c r="AH120" s="4"/>
      <c r="AI120" s="4"/>
      <c r="AJ120" s="4"/>
      <c r="AK120" s="4"/>
      <c r="AL120" s="4"/>
      <c r="AM120" s="4"/>
      <c r="AN120" s="4"/>
      <c r="AO120" s="4"/>
      <c r="AP120" s="4"/>
      <c r="AQ120" s="4"/>
      <c r="AR120" s="4"/>
      <c r="AS120" s="4"/>
      <c r="AT120" s="4"/>
      <c r="AU120" s="4"/>
      <c r="AV120" s="4"/>
      <c r="AW120" s="4"/>
      <c r="AX120" s="4"/>
      <c r="AY120" s="4"/>
      <c r="AZ120" s="4"/>
      <c r="BA120" s="4"/>
      <c r="BB120" s="4"/>
    </row>
    <row r="121" spans="1:54" s="141" customFormat="1" ht="43.5">
      <c r="A121" s="142">
        <v>2019</v>
      </c>
      <c r="B121" s="142" t="s">
        <v>13</v>
      </c>
      <c r="C121" s="143">
        <v>8708680</v>
      </c>
      <c r="D121" s="143">
        <v>5498.57</v>
      </c>
      <c r="E121" s="143">
        <v>8714178.5700000003</v>
      </c>
      <c r="F121" s="143"/>
      <c r="G121" s="144">
        <v>647.29999999999995</v>
      </c>
      <c r="H121" s="144">
        <v>0</v>
      </c>
      <c r="I121" s="142">
        <v>31</v>
      </c>
      <c r="J121" s="143">
        <v>756.5</v>
      </c>
      <c r="K121" s="143">
        <v>486247.80392401206</v>
      </c>
      <c r="L121" s="143">
        <v>3487388.6937600006</v>
      </c>
      <c r="M121" s="143"/>
      <c r="N121" s="145"/>
      <c r="O121" s="143"/>
      <c r="P121" s="142"/>
      <c r="Q121" s="143">
        <f t="shared" si="6"/>
        <v>8678176.3171908632</v>
      </c>
      <c r="R121" s="143">
        <f t="shared" si="7"/>
        <v>-36002.252809137106</v>
      </c>
      <c r="S121" s="161">
        <f t="shared" si="8"/>
        <v>-4.1314568573429071E-3</v>
      </c>
      <c r="T121" s="161">
        <f t="shared" si="9"/>
        <v>4.1314568573429071E-3</v>
      </c>
      <c r="U121" s="146"/>
      <c r="V121" s="241" t="s">
        <v>191</v>
      </c>
      <c r="W121" s="358" t="s">
        <v>192</v>
      </c>
      <c r="X121" s="359"/>
      <c r="Y121" s="244" t="s">
        <v>193</v>
      </c>
      <c r="Z121" s="132"/>
      <c r="AA121" s="132"/>
      <c r="AB121" s="132"/>
      <c r="AC121" s="132"/>
      <c r="AD121" s="132"/>
      <c r="AE121" s="4"/>
      <c r="AF121" s="4"/>
      <c r="AG121" s="4"/>
      <c r="AH121" s="4"/>
      <c r="AI121" s="4"/>
      <c r="AJ121" s="4"/>
      <c r="AK121" s="4"/>
      <c r="AL121" s="4"/>
      <c r="AM121" s="4"/>
      <c r="AN121" s="4"/>
      <c r="AO121" s="4"/>
      <c r="AP121" s="4"/>
      <c r="AQ121" s="4"/>
      <c r="AR121" s="4"/>
      <c r="AS121" s="4"/>
      <c r="AT121" s="4"/>
      <c r="AU121" s="4"/>
      <c r="AV121" s="4"/>
      <c r="AW121" s="4"/>
      <c r="AX121" s="4"/>
      <c r="AY121" s="4"/>
      <c r="AZ121" s="4"/>
      <c r="BA121" s="4"/>
      <c r="BB121" s="4"/>
    </row>
    <row r="122" spans="1:54" s="141" customFormat="1">
      <c r="A122" s="2">
        <v>2020</v>
      </c>
      <c r="B122" s="2" t="s">
        <v>2</v>
      </c>
      <c r="C122" s="15"/>
      <c r="D122" s="15"/>
      <c r="E122" s="7"/>
      <c r="F122" s="15"/>
      <c r="G122" s="160">
        <v>787.66149730369216</v>
      </c>
      <c r="H122" s="160">
        <v>0</v>
      </c>
      <c r="I122" s="2">
        <v>31</v>
      </c>
      <c r="J122" s="7">
        <v>749.30128291316532</v>
      </c>
      <c r="K122" s="7">
        <v>484256.91953879548</v>
      </c>
      <c r="L122" s="7">
        <v>4331189.5934509002</v>
      </c>
      <c r="M122" s="7"/>
      <c r="N122" s="135"/>
      <c r="O122" s="7"/>
      <c r="P122" s="2"/>
      <c r="Q122" s="245">
        <f t="shared" si="6"/>
        <v>9798034.8109751716</v>
      </c>
      <c r="R122" s="7"/>
      <c r="S122" s="139"/>
      <c r="T122" s="139"/>
      <c r="U122" s="4"/>
      <c r="V122" s="214">
        <f>'2a. Power Purchased Model '!Q122</f>
        <v>10683524.134147737</v>
      </c>
      <c r="W122" s="214">
        <f>Q122-V122</f>
        <v>-885489.32317256555</v>
      </c>
      <c r="X122" s="242">
        <f>W122/V122</f>
        <v>-8.2883635779159887E-2</v>
      </c>
      <c r="Y122" s="360">
        <f>SUM(W122:W133)</f>
        <v>-10434110.812585412</v>
      </c>
      <c r="Z122" s="132"/>
      <c r="AA122" s="132"/>
      <c r="AB122" s="132"/>
      <c r="AC122" s="132"/>
      <c r="AD122" s="132"/>
      <c r="AE122" s="4"/>
      <c r="AF122" s="4"/>
      <c r="AG122" s="4"/>
      <c r="AH122" s="4"/>
      <c r="AI122" s="4"/>
      <c r="AJ122" s="4"/>
      <c r="AK122" s="4"/>
      <c r="AL122" s="4"/>
      <c r="AM122" s="4"/>
      <c r="AN122" s="4"/>
      <c r="AO122" s="4"/>
      <c r="AP122" s="4"/>
      <c r="AQ122" s="4"/>
      <c r="AR122" s="4"/>
      <c r="AS122" s="4"/>
      <c r="AT122" s="4"/>
      <c r="AU122" s="4"/>
      <c r="AV122" s="4"/>
      <c r="AW122" s="4"/>
      <c r="AX122" s="4"/>
      <c r="AY122" s="4"/>
      <c r="AZ122" s="4"/>
      <c r="BA122" s="4"/>
      <c r="BB122" s="4"/>
    </row>
    <row r="123" spans="1:54" s="141" customFormat="1">
      <c r="A123" s="2">
        <v>2020</v>
      </c>
      <c r="B123" s="2" t="s">
        <v>3</v>
      </c>
      <c r="C123" s="15"/>
      <c r="D123" s="15"/>
      <c r="E123" s="7"/>
      <c r="F123" s="15"/>
      <c r="G123" s="160">
        <v>695.5304865247831</v>
      </c>
      <c r="H123" s="160">
        <v>0</v>
      </c>
      <c r="I123" s="2">
        <v>29</v>
      </c>
      <c r="J123" s="7">
        <v>749.79574444444438</v>
      </c>
      <c r="K123" s="7">
        <v>482266.03515357891</v>
      </c>
      <c r="L123" s="7">
        <v>4067029.3856538995</v>
      </c>
      <c r="M123" s="7"/>
      <c r="N123" s="135"/>
      <c r="O123" s="7"/>
      <c r="P123" s="2"/>
      <c r="Q123" s="245">
        <f t="shared" si="6"/>
        <v>9072753.3675457314</v>
      </c>
      <c r="R123" s="7"/>
      <c r="S123" s="139"/>
      <c r="T123" s="139"/>
      <c r="U123" s="4"/>
      <c r="V123" s="214">
        <f>'2a. Power Purchased Model '!Q123</f>
        <v>9931889.3453786448</v>
      </c>
      <c r="W123" s="214">
        <f t="shared" ref="W123:W145" si="10">Q123-V123</f>
        <v>-859135.9778329134</v>
      </c>
      <c r="X123" s="242">
        <f t="shared" ref="X123:X145" si="11">W123/V123</f>
        <v>-8.6502773838562086E-2</v>
      </c>
      <c r="Y123" s="361"/>
      <c r="Z123" s="132"/>
      <c r="AA123" s="132"/>
      <c r="AB123" s="132"/>
      <c r="AC123" s="132"/>
      <c r="AD123" s="132"/>
      <c r="AE123" s="4"/>
      <c r="AF123" s="4"/>
      <c r="AG123" s="4"/>
      <c r="AH123" s="4"/>
      <c r="AI123" s="4"/>
      <c r="AJ123" s="4"/>
      <c r="AK123" s="4"/>
      <c r="AL123" s="4"/>
      <c r="AM123" s="4"/>
      <c r="AN123" s="4"/>
      <c r="AO123" s="4"/>
      <c r="AP123" s="4"/>
      <c r="AQ123" s="4"/>
      <c r="AR123" s="4"/>
      <c r="AS123" s="4"/>
      <c r="AT123" s="4"/>
      <c r="AU123" s="4"/>
      <c r="AV123" s="4"/>
      <c r="AW123" s="4"/>
      <c r="AX123" s="4"/>
      <c r="AY123" s="4"/>
      <c r="AZ123" s="4"/>
      <c r="BA123" s="4"/>
      <c r="BB123" s="4"/>
    </row>
    <row r="124" spans="1:54" s="141" customFormat="1">
      <c r="A124" s="2">
        <v>2020</v>
      </c>
      <c r="B124" s="2" t="s">
        <v>4</v>
      </c>
      <c r="C124" s="15"/>
      <c r="D124" s="15"/>
      <c r="E124" s="7"/>
      <c r="F124" s="15"/>
      <c r="G124" s="160">
        <v>634.71289682539646</v>
      </c>
      <c r="H124" s="160">
        <v>0.29142857142857537</v>
      </c>
      <c r="I124" s="2">
        <v>31</v>
      </c>
      <c r="J124" s="7">
        <v>750.20510485467389</v>
      </c>
      <c r="K124" s="7">
        <v>480275.15076836233</v>
      </c>
      <c r="L124" s="7">
        <v>4470447.0035923002</v>
      </c>
      <c r="M124" s="7"/>
      <c r="N124" s="135"/>
      <c r="O124" s="7"/>
      <c r="P124" s="2"/>
      <c r="Q124" s="245">
        <f t="shared" si="6"/>
        <v>9537039.3232944477</v>
      </c>
      <c r="R124" s="7"/>
      <c r="S124" s="139"/>
      <c r="T124" s="139"/>
      <c r="U124" s="4"/>
      <c r="V124" s="214">
        <f>'2a. Power Purchased Model '!Q124</f>
        <v>10375977.422247745</v>
      </c>
      <c r="W124" s="214">
        <f t="shared" si="10"/>
        <v>-838938.09895329736</v>
      </c>
      <c r="X124" s="242">
        <f t="shared" si="11"/>
        <v>-8.0853886319613683E-2</v>
      </c>
      <c r="Y124" s="361"/>
      <c r="Z124" s="132"/>
      <c r="AA124" s="132"/>
      <c r="AB124" s="132"/>
      <c r="AC124" s="132"/>
      <c r="AD124" s="132"/>
      <c r="AE124" s="4"/>
      <c r="AF124" s="4"/>
      <c r="AG124" s="4"/>
      <c r="AH124" s="4"/>
      <c r="AI124" s="4"/>
      <c r="AJ124" s="4"/>
      <c r="AK124" s="4"/>
      <c r="AL124" s="4"/>
      <c r="AM124" s="4"/>
      <c r="AN124" s="4"/>
      <c r="AO124" s="4"/>
      <c r="AP124" s="4"/>
      <c r="AQ124" s="4"/>
      <c r="AR124" s="4"/>
      <c r="AS124" s="4"/>
      <c r="AT124" s="4"/>
      <c r="AU124" s="4"/>
      <c r="AV124" s="4"/>
      <c r="AW124" s="4"/>
      <c r="AX124" s="4"/>
      <c r="AY124" s="4"/>
      <c r="AZ124" s="4"/>
      <c r="BA124" s="4"/>
      <c r="BB124" s="4"/>
    </row>
    <row r="125" spans="1:54" s="141" customFormat="1">
      <c r="A125" s="2">
        <v>2020</v>
      </c>
      <c r="B125" s="2" t="s">
        <v>5</v>
      </c>
      <c r="C125" s="15"/>
      <c r="D125" s="15"/>
      <c r="E125" s="7"/>
      <c r="F125" s="15"/>
      <c r="G125" s="160">
        <v>403.76076719576713</v>
      </c>
      <c r="H125" s="160">
        <v>-0.20428571428571729</v>
      </c>
      <c r="I125" s="2">
        <v>30</v>
      </c>
      <c r="J125" s="7">
        <v>750.52672584533764</v>
      </c>
      <c r="K125" s="7">
        <v>478284.2663831457</v>
      </c>
      <c r="L125" s="7">
        <v>4248550.5911507001</v>
      </c>
      <c r="M125" s="7"/>
      <c r="N125" s="135"/>
      <c r="O125" s="7"/>
      <c r="P125" s="2"/>
      <c r="Q125" s="245">
        <f t="shared" si="6"/>
        <v>8609147.6958929729</v>
      </c>
      <c r="R125" s="7"/>
      <c r="S125" s="139"/>
      <c r="T125" s="139"/>
      <c r="U125" s="4"/>
      <c r="V125" s="214">
        <f>'2a. Power Purchased Model '!Q125</f>
        <v>9456162.2443983033</v>
      </c>
      <c r="W125" s="214">
        <f t="shared" si="10"/>
        <v>-847014.54850533046</v>
      </c>
      <c r="X125" s="242">
        <f t="shared" si="11"/>
        <v>-8.9572759710958835E-2</v>
      </c>
      <c r="Y125" s="361"/>
      <c r="Z125" s="132"/>
      <c r="AA125" s="132"/>
      <c r="AB125" s="132"/>
      <c r="AC125" s="132"/>
      <c r="AD125" s="132"/>
      <c r="AE125" s="4"/>
      <c r="AF125" s="4"/>
      <c r="AG125" s="4"/>
      <c r="AH125" s="4"/>
      <c r="AI125" s="4"/>
      <c r="AJ125" s="4"/>
      <c r="AK125" s="4"/>
      <c r="AL125" s="4"/>
      <c r="AM125" s="4"/>
      <c r="AN125" s="4"/>
      <c r="AO125" s="4"/>
      <c r="AP125" s="4"/>
      <c r="AQ125" s="4"/>
      <c r="AR125" s="4"/>
      <c r="AS125" s="4"/>
      <c r="AT125" s="4"/>
      <c r="AU125" s="4"/>
      <c r="AV125" s="4"/>
      <c r="AW125" s="4"/>
      <c r="AX125" s="4"/>
      <c r="AY125" s="4"/>
      <c r="AZ125" s="4"/>
      <c r="BA125" s="4"/>
      <c r="BB125" s="4"/>
    </row>
    <row r="126" spans="1:54" s="141" customFormat="1">
      <c r="A126" s="2">
        <v>2020</v>
      </c>
      <c r="B126" s="2" t="s">
        <v>6</v>
      </c>
      <c r="C126" s="15"/>
      <c r="D126" s="15"/>
      <c r="E126" s="7"/>
      <c r="F126" s="15"/>
      <c r="G126" s="160">
        <v>164.31880952380925</v>
      </c>
      <c r="H126" s="160">
        <v>17.235714285714266</v>
      </c>
      <c r="I126" s="2">
        <v>31</v>
      </c>
      <c r="J126" s="7">
        <v>750.8775667913535</v>
      </c>
      <c r="K126" s="7">
        <v>476293.38199792913</v>
      </c>
      <c r="L126" s="7">
        <v>4499949.726133001</v>
      </c>
      <c r="M126" s="7"/>
      <c r="N126" s="135"/>
      <c r="O126" s="7"/>
      <c r="P126" s="2"/>
      <c r="Q126" s="245">
        <f t="shared" si="6"/>
        <v>8519758.5740796905</v>
      </c>
      <c r="R126" s="7"/>
      <c r="S126" s="139"/>
      <c r="T126" s="139"/>
      <c r="U126" s="4"/>
      <c r="V126" s="214">
        <f>'2a. Power Purchased Model '!Q126</f>
        <v>9414265.379953973</v>
      </c>
      <c r="W126" s="214">
        <f t="shared" si="10"/>
        <v>-894506.80587428249</v>
      </c>
      <c r="X126" s="242">
        <f t="shared" si="11"/>
        <v>-9.5016102666807961E-2</v>
      </c>
      <c r="Y126" s="361"/>
      <c r="Z126" s="132"/>
      <c r="AA126" s="132"/>
      <c r="AB126" s="132"/>
      <c r="AC126" s="132"/>
      <c r="AD126" s="132"/>
      <c r="AE126" s="4"/>
      <c r="AF126" s="4"/>
      <c r="AG126" s="4"/>
      <c r="AH126" s="4"/>
      <c r="AI126" s="4"/>
      <c r="AJ126" s="4"/>
      <c r="AK126" s="4"/>
      <c r="AL126" s="4"/>
      <c r="AM126" s="4"/>
      <c r="AN126" s="4"/>
      <c r="AO126" s="4"/>
      <c r="AP126" s="4"/>
      <c r="AQ126" s="4"/>
      <c r="AR126" s="4"/>
      <c r="AS126" s="4"/>
      <c r="AT126" s="4"/>
      <c r="AU126" s="4"/>
      <c r="AV126" s="4"/>
      <c r="AW126" s="4"/>
      <c r="AX126" s="4"/>
      <c r="AY126" s="4"/>
      <c r="AZ126" s="4"/>
      <c r="BA126" s="4"/>
      <c r="BB126" s="4"/>
    </row>
    <row r="127" spans="1:54" s="141" customFormat="1">
      <c r="A127" s="2">
        <v>2020</v>
      </c>
      <c r="B127" s="2" t="s">
        <v>7</v>
      </c>
      <c r="C127" s="15"/>
      <c r="D127" s="15"/>
      <c r="E127" s="7"/>
      <c r="F127" s="15"/>
      <c r="G127" s="160">
        <v>53.822010364273865</v>
      </c>
      <c r="H127" s="160">
        <v>26.652857142856874</v>
      </c>
      <c r="I127" s="2">
        <v>30</v>
      </c>
      <c r="J127" s="7">
        <v>751.35929288689545</v>
      </c>
      <c r="K127" s="7">
        <v>474302.49761271256</v>
      </c>
      <c r="L127" s="7">
        <v>4407679.0414789002</v>
      </c>
      <c r="M127" s="7"/>
      <c r="N127" s="135"/>
      <c r="O127" s="7"/>
      <c r="P127" s="2"/>
      <c r="Q127" s="245">
        <f t="shared" si="6"/>
        <v>8122801.0440068906</v>
      </c>
      <c r="R127" s="7"/>
      <c r="S127" s="139"/>
      <c r="T127" s="139"/>
      <c r="U127" s="4"/>
      <c r="V127" s="214">
        <f>'2a. Power Purchased Model '!Q127</f>
        <v>9034353.3814025782</v>
      </c>
      <c r="W127" s="214">
        <f t="shared" si="10"/>
        <v>-911552.33739568759</v>
      </c>
      <c r="X127" s="242">
        <f t="shared" si="11"/>
        <v>-0.10089845934874972</v>
      </c>
      <c r="Y127" s="361"/>
      <c r="Z127" s="132"/>
      <c r="AA127" s="132"/>
      <c r="AB127" s="132"/>
      <c r="AC127" s="132"/>
      <c r="AD127" s="132"/>
      <c r="AE127" s="4"/>
      <c r="AF127" s="4"/>
      <c r="AG127" s="4"/>
      <c r="AH127" s="4"/>
      <c r="AI127" s="4"/>
      <c r="AJ127" s="4"/>
      <c r="AK127" s="4"/>
      <c r="AL127" s="4"/>
      <c r="AM127" s="4"/>
      <c r="AN127" s="4"/>
      <c r="AO127" s="4"/>
      <c r="AP127" s="4"/>
      <c r="AQ127" s="4"/>
      <c r="AR127" s="4"/>
      <c r="AS127" s="4"/>
      <c r="AT127" s="4"/>
      <c r="AU127" s="4"/>
      <c r="AV127" s="4"/>
      <c r="AW127" s="4"/>
      <c r="AX127" s="4"/>
      <c r="AY127" s="4"/>
      <c r="AZ127" s="4"/>
      <c r="BA127" s="4"/>
      <c r="BB127" s="4"/>
    </row>
    <row r="128" spans="1:54" s="141" customFormat="1">
      <c r="A128" s="2">
        <v>2020</v>
      </c>
      <c r="B128" s="2" t="s">
        <v>8</v>
      </c>
      <c r="C128" s="15"/>
      <c r="D128" s="15"/>
      <c r="E128" s="7"/>
      <c r="F128" s="15"/>
      <c r="G128" s="160">
        <v>13.336984126984134</v>
      </c>
      <c r="H128" s="160">
        <v>73.294444444444707</v>
      </c>
      <c r="I128" s="2">
        <v>31</v>
      </c>
      <c r="J128" s="7">
        <v>752.07938286344097</v>
      </c>
      <c r="K128" s="7">
        <v>472311.61322749598</v>
      </c>
      <c r="L128" s="7">
        <v>4179289.9717442007</v>
      </c>
      <c r="M128" s="7"/>
      <c r="N128" s="135"/>
      <c r="O128" s="7"/>
      <c r="P128" s="2"/>
      <c r="Q128" s="245">
        <f t="shared" si="6"/>
        <v>8410800.3547159005</v>
      </c>
      <c r="R128" s="7"/>
      <c r="S128" s="139"/>
      <c r="T128" s="139"/>
      <c r="U128" s="4"/>
      <c r="V128" s="214">
        <f>'2a. Power Purchased Model '!Q128</f>
        <v>9277356.0525066294</v>
      </c>
      <c r="W128" s="214">
        <f t="shared" si="10"/>
        <v>-866555.69779072888</v>
      </c>
      <c r="X128" s="242">
        <f t="shared" si="11"/>
        <v>-9.3405458719739015E-2</v>
      </c>
      <c r="Y128" s="361"/>
      <c r="Z128" s="132"/>
      <c r="AA128" s="132"/>
      <c r="AB128" s="132"/>
      <c r="AC128" s="132"/>
      <c r="AD128" s="132"/>
      <c r="AE128" s="4"/>
      <c r="AF128" s="4"/>
      <c r="AG128" s="4"/>
      <c r="AH128" s="4"/>
      <c r="AI128" s="4"/>
      <c r="AJ128" s="4"/>
      <c r="AK128" s="4"/>
      <c r="AL128" s="4"/>
      <c r="AM128" s="4"/>
      <c r="AN128" s="4"/>
      <c r="AO128" s="4"/>
      <c r="AP128" s="4"/>
      <c r="AQ128" s="4"/>
      <c r="AR128" s="4"/>
      <c r="AS128" s="4"/>
      <c r="AT128" s="4"/>
      <c r="AU128" s="4"/>
      <c r="AV128" s="4"/>
      <c r="AW128" s="4"/>
      <c r="AX128" s="4"/>
      <c r="AY128" s="4"/>
      <c r="AZ128" s="4"/>
      <c r="BA128" s="4"/>
      <c r="BB128" s="4"/>
    </row>
    <row r="129" spans="1:54" s="141" customFormat="1">
      <c r="A129" s="2">
        <v>2020</v>
      </c>
      <c r="B129" s="2" t="s">
        <v>9</v>
      </c>
      <c r="C129" s="15"/>
      <c r="D129" s="15"/>
      <c r="E129" s="7"/>
      <c r="F129" s="15"/>
      <c r="G129" s="160">
        <v>23.479523809523698</v>
      </c>
      <c r="H129" s="160">
        <v>51.905053889868668</v>
      </c>
      <c r="I129" s="2">
        <v>31</v>
      </c>
      <c r="J129" s="7">
        <v>752.99920722874788</v>
      </c>
      <c r="K129" s="7">
        <v>470320.72884227935</v>
      </c>
      <c r="L129" s="7">
        <v>4756005.4147161003</v>
      </c>
      <c r="M129" s="7"/>
      <c r="N129" s="135"/>
      <c r="O129" s="7"/>
      <c r="P129" s="2"/>
      <c r="Q129" s="245">
        <f t="shared" si="6"/>
        <v>8748457.0924193226</v>
      </c>
      <c r="R129" s="7"/>
      <c r="S129" s="139"/>
      <c r="T129" s="139"/>
      <c r="U129" s="4"/>
      <c r="V129" s="214">
        <f>'2a. Power Purchased Model '!Q129</f>
        <v>9669303.1669078451</v>
      </c>
      <c r="W129" s="214">
        <f t="shared" si="10"/>
        <v>-920846.07448852248</v>
      </c>
      <c r="X129" s="242">
        <f t="shared" si="11"/>
        <v>-9.5233964494982393E-2</v>
      </c>
      <c r="Y129" s="361"/>
      <c r="Z129" s="132"/>
      <c r="AA129" s="132"/>
      <c r="AB129" s="132"/>
      <c r="AC129" s="132"/>
      <c r="AD129" s="132"/>
      <c r="AE129" s="4"/>
      <c r="AF129" s="4"/>
      <c r="AG129" s="4"/>
      <c r="AH129" s="4"/>
      <c r="AI129" s="4"/>
      <c r="AJ129" s="4"/>
      <c r="AK129" s="4"/>
      <c r="AL129" s="4"/>
      <c r="AM129" s="4"/>
      <c r="AN129" s="4"/>
      <c r="AO129" s="4"/>
      <c r="AP129" s="4"/>
      <c r="AQ129" s="4"/>
      <c r="AR129" s="4"/>
      <c r="AS129" s="4"/>
      <c r="AT129" s="4"/>
      <c r="AU129" s="4"/>
      <c r="AV129" s="4"/>
      <c r="AW129" s="4"/>
      <c r="AX129" s="4"/>
      <c r="AY129" s="4"/>
      <c r="AZ129" s="4"/>
      <c r="BA129" s="4"/>
      <c r="BB129" s="4"/>
    </row>
    <row r="130" spans="1:54" s="141" customFormat="1">
      <c r="A130" s="2">
        <v>2020</v>
      </c>
      <c r="B130" s="2" t="s">
        <v>10</v>
      </c>
      <c r="C130" s="15"/>
      <c r="D130" s="15"/>
      <c r="E130" s="7"/>
      <c r="F130" s="15"/>
      <c r="G130" s="160">
        <v>87.805714285714203</v>
      </c>
      <c r="H130" s="160">
        <v>27.90119047619055</v>
      </c>
      <c r="I130" s="2">
        <v>30</v>
      </c>
      <c r="J130" s="7">
        <v>753.9527122733756</v>
      </c>
      <c r="K130" s="7">
        <v>468329.84445706278</v>
      </c>
      <c r="L130" s="7">
        <v>4468921.3708229009</v>
      </c>
      <c r="M130" s="7"/>
      <c r="N130" s="135"/>
      <c r="O130" s="7"/>
      <c r="P130" s="2"/>
      <c r="Q130" s="245">
        <f t="shared" si="6"/>
        <v>8292027.0331168817</v>
      </c>
      <c r="R130" s="7"/>
      <c r="S130" s="139"/>
      <c r="T130" s="139"/>
      <c r="U130" s="4"/>
      <c r="V130" s="214">
        <f>'2a. Power Purchased Model '!Q130</f>
        <v>9180564.1706686225</v>
      </c>
      <c r="W130" s="214">
        <f t="shared" si="10"/>
        <v>-888537.13755174074</v>
      </c>
      <c r="X130" s="242">
        <f t="shared" si="11"/>
        <v>-9.6784589817537153E-2</v>
      </c>
      <c r="Y130" s="361"/>
      <c r="Z130" s="132"/>
      <c r="AA130" s="132"/>
      <c r="AB130" s="132"/>
      <c r="AC130" s="132"/>
      <c r="AD130" s="132"/>
      <c r="AE130" s="4"/>
      <c r="AF130" s="4"/>
      <c r="AG130" s="4"/>
      <c r="AH130" s="4"/>
      <c r="AI130" s="4"/>
      <c r="AJ130" s="4"/>
      <c r="AK130" s="4"/>
      <c r="AL130" s="4"/>
      <c r="AM130" s="4"/>
      <c r="AN130" s="4"/>
      <c r="AO130" s="4"/>
      <c r="AP130" s="4"/>
      <c r="AQ130" s="4"/>
      <c r="AR130" s="4"/>
      <c r="AS130" s="4"/>
      <c r="AT130" s="4"/>
      <c r="AU130" s="4"/>
      <c r="AV130" s="4"/>
      <c r="AW130" s="4"/>
      <c r="AX130" s="4"/>
      <c r="AY130" s="4"/>
      <c r="AZ130" s="4"/>
      <c r="BA130" s="4"/>
      <c r="BB130" s="4"/>
    </row>
    <row r="131" spans="1:54" s="141" customFormat="1">
      <c r="A131" s="2">
        <v>2020</v>
      </c>
      <c r="B131" s="2" t="s">
        <v>11</v>
      </c>
      <c r="C131" s="15"/>
      <c r="D131" s="15"/>
      <c r="E131" s="7"/>
      <c r="F131" s="15"/>
      <c r="G131" s="160">
        <v>277.20015873015882</v>
      </c>
      <c r="H131" s="160">
        <v>2.0714285714285712</v>
      </c>
      <c r="I131" s="2">
        <v>31</v>
      </c>
      <c r="J131" s="7">
        <v>754.78606837947939</v>
      </c>
      <c r="K131" s="7">
        <v>466338.9600718462</v>
      </c>
      <c r="L131" s="7">
        <v>4611450.9819984008</v>
      </c>
      <c r="M131" s="7"/>
      <c r="N131" s="135"/>
      <c r="O131" s="7"/>
      <c r="P131" s="2"/>
      <c r="Q131" s="245">
        <f t="shared" ref="Q131:Q145" si="12">$W$17+$W$18*G131+$W$19*H131+$W$20*I131+$W$21*J131+$W$22*K131+$W$23*L131</f>
        <v>8781445.8966895714</v>
      </c>
      <c r="R131" s="7"/>
      <c r="S131" s="139"/>
      <c r="T131" s="139"/>
      <c r="U131" s="4"/>
      <c r="V131" s="214">
        <f>'2a. Power Purchased Model '!Q131</f>
        <v>9674137.8696453366</v>
      </c>
      <c r="W131" s="214">
        <f t="shared" si="10"/>
        <v>-892691.9729557652</v>
      </c>
      <c r="X131" s="242">
        <f t="shared" si="11"/>
        <v>-9.2276126822295551E-2</v>
      </c>
      <c r="Y131" s="361"/>
      <c r="Z131" s="132"/>
      <c r="AA131" s="132"/>
      <c r="AB131" s="132"/>
      <c r="AC131" s="132"/>
      <c r="AD131" s="132"/>
      <c r="AE131" s="4"/>
      <c r="AF131" s="4"/>
      <c r="AG131" s="4"/>
      <c r="AH131" s="4"/>
      <c r="AI131" s="4"/>
      <c r="AJ131" s="4"/>
      <c r="AK131" s="4"/>
      <c r="AL131" s="4"/>
      <c r="AM131" s="4"/>
      <c r="AN131" s="4"/>
      <c r="AO131" s="4"/>
      <c r="AP131" s="4"/>
      <c r="AQ131" s="4"/>
      <c r="AR131" s="4"/>
      <c r="AS131" s="4"/>
      <c r="AT131" s="4"/>
      <c r="AU131" s="4"/>
      <c r="AV131" s="4"/>
      <c r="AW131" s="4"/>
      <c r="AX131" s="4"/>
      <c r="AY131" s="4"/>
      <c r="AZ131" s="4"/>
      <c r="BA131" s="4"/>
      <c r="BB131" s="4"/>
    </row>
    <row r="132" spans="1:54" s="141" customFormat="1">
      <c r="A132" s="2">
        <v>2020</v>
      </c>
      <c r="B132" s="2" t="s">
        <v>12</v>
      </c>
      <c r="C132" s="160"/>
      <c r="D132" s="240" t="s">
        <v>190</v>
      </c>
      <c r="F132" s="15"/>
      <c r="G132" s="160">
        <v>503.52571428571355</v>
      </c>
      <c r="H132" s="160">
        <v>0</v>
      </c>
      <c r="I132" s="2">
        <v>30</v>
      </c>
      <c r="J132" s="7">
        <v>755.47488395567143</v>
      </c>
      <c r="K132" s="7">
        <v>464348.07568662963</v>
      </c>
      <c r="L132" s="7">
        <v>4297407.0614971006</v>
      </c>
      <c r="M132" s="7"/>
      <c r="N132" s="135"/>
      <c r="O132" s="7"/>
      <c r="P132" s="2"/>
      <c r="Q132" s="245">
        <f t="shared" si="12"/>
        <v>8942544.8431752287</v>
      </c>
      <c r="R132" s="7"/>
      <c r="S132" s="139"/>
      <c r="T132" s="139"/>
      <c r="U132" s="4"/>
      <c r="V132" s="214">
        <f>'2a. Power Purchased Model '!Q132</f>
        <v>9746334.2327089086</v>
      </c>
      <c r="W132" s="214">
        <f t="shared" si="10"/>
        <v>-803789.38953367993</v>
      </c>
      <c r="X132" s="242">
        <f t="shared" si="11"/>
        <v>-8.2470944494817885E-2</v>
      </c>
      <c r="Y132" s="361"/>
      <c r="Z132" s="132"/>
      <c r="AA132" s="132"/>
      <c r="AB132" s="132"/>
      <c r="AC132" s="132"/>
      <c r="AD132" s="132"/>
      <c r="AE132" s="4"/>
      <c r="AF132" s="4"/>
      <c r="AG132" s="4"/>
      <c r="AH132" s="4"/>
      <c r="AI132" s="4"/>
      <c r="AJ132" s="4"/>
      <c r="AK132" s="4"/>
      <c r="AL132" s="4"/>
      <c r="AM132" s="4"/>
      <c r="AN132" s="4"/>
      <c r="AO132" s="4"/>
      <c r="AP132" s="4"/>
      <c r="AQ132" s="4"/>
      <c r="AR132" s="4"/>
      <c r="AS132" s="4"/>
      <c r="AT132" s="4"/>
      <c r="AU132" s="4"/>
      <c r="AV132" s="4"/>
      <c r="AW132" s="4"/>
      <c r="AX132" s="4"/>
      <c r="AY132" s="4"/>
      <c r="AZ132" s="4"/>
      <c r="BA132" s="4"/>
      <c r="BB132" s="4"/>
    </row>
    <row r="133" spans="1:54" s="141" customFormat="1">
      <c r="A133" s="142">
        <v>2020</v>
      </c>
      <c r="B133" s="142" t="s">
        <v>13</v>
      </c>
      <c r="C133" s="144"/>
      <c r="D133" s="144"/>
      <c r="E133" s="143"/>
      <c r="F133" s="144"/>
      <c r="G133" s="239">
        <v>642.63911228688994</v>
      </c>
      <c r="H133" s="239">
        <v>0</v>
      </c>
      <c r="I133" s="142">
        <v>31</v>
      </c>
      <c r="J133" s="143">
        <v>755.54761828564449</v>
      </c>
      <c r="K133" s="143">
        <v>462357.191301413</v>
      </c>
      <c r="L133" s="143">
        <v>3758861.8357894002</v>
      </c>
      <c r="M133" s="143"/>
      <c r="N133" s="145"/>
      <c r="O133" s="143"/>
      <c r="P133" s="142"/>
      <c r="Q133" s="246">
        <f t="shared" si="12"/>
        <v>8943261.2836139333</v>
      </c>
      <c r="R133" s="143"/>
      <c r="S133" s="161"/>
      <c r="T133" s="161"/>
      <c r="U133" s="146"/>
      <c r="V133" s="215">
        <f>'2a. Power Purchased Model '!Q133</f>
        <v>9768314.7321448307</v>
      </c>
      <c r="W133" s="215">
        <f t="shared" si="10"/>
        <v>-825053.4485308975</v>
      </c>
      <c r="X133" s="243">
        <f t="shared" si="11"/>
        <v>-8.446220982375538E-2</v>
      </c>
      <c r="Y133" s="361"/>
      <c r="Z133" s="132"/>
      <c r="AA133" s="132"/>
      <c r="AB133" s="132"/>
      <c r="AC133" s="132"/>
      <c r="AD133" s="132"/>
      <c r="AE133" s="4"/>
      <c r="AF133" s="4"/>
      <c r="AG133" s="4"/>
      <c r="AH133" s="4"/>
      <c r="AI133" s="4"/>
      <c r="AJ133" s="4"/>
      <c r="AK133" s="4"/>
      <c r="AL133" s="4"/>
      <c r="AM133" s="4"/>
      <c r="AN133" s="4"/>
      <c r="AO133" s="4"/>
      <c r="AP133" s="4"/>
      <c r="AQ133" s="4"/>
      <c r="AR133" s="4"/>
      <c r="AS133" s="4"/>
      <c r="AT133" s="4"/>
      <c r="AU133" s="4"/>
      <c r="AV133" s="4"/>
      <c r="AW133" s="4"/>
      <c r="AX133" s="4"/>
      <c r="AY133" s="4"/>
      <c r="AZ133" s="4"/>
      <c r="BA133" s="4"/>
      <c r="BB133" s="4"/>
    </row>
    <row r="134" spans="1:54" s="141" customFormat="1">
      <c r="A134" s="2">
        <v>2021</v>
      </c>
      <c r="B134" s="2" t="s">
        <v>2</v>
      </c>
      <c r="C134" s="15"/>
      <c r="D134" s="15"/>
      <c r="E134" s="7"/>
      <c r="F134" s="15"/>
      <c r="G134" s="160">
        <v>787.66149730369216</v>
      </c>
      <c r="H134" s="160">
        <v>0</v>
      </c>
      <c r="I134" s="2">
        <v>31</v>
      </c>
      <c r="J134" s="7">
        <v>756.09817980310584</v>
      </c>
      <c r="K134" s="7">
        <v>463519.20283448428</v>
      </c>
      <c r="L134" s="7">
        <v>4415578.9894501893</v>
      </c>
      <c r="M134" s="7"/>
      <c r="N134" s="135"/>
      <c r="O134" s="7"/>
      <c r="P134" s="2"/>
      <c r="Q134" s="245">
        <f>$W$17+$W$18*G134+$W$19*H134+$W$20*I134+$W$21*J134+$W$22*K134+$W$23*L134</f>
        <v>9915034.8343557511</v>
      </c>
      <c r="R134" s="7"/>
      <c r="S134" s="139"/>
      <c r="T134" s="139"/>
      <c r="U134" s="4"/>
      <c r="V134" s="214">
        <f>'2a. Power Purchased Model '!Q134</f>
        <v>10771682.285958339</v>
      </c>
      <c r="W134" s="214">
        <f t="shared" si="10"/>
        <v>-856647.45160258748</v>
      </c>
      <c r="X134" s="242">
        <f t="shared" si="11"/>
        <v>-7.9527731032253801E-2</v>
      </c>
      <c r="Y134" s="360">
        <f>SUM(W134:W145)</f>
        <v>-10352031.269226145</v>
      </c>
      <c r="Z134" s="132"/>
      <c r="AA134" s="132"/>
      <c r="AB134" s="132"/>
      <c r="AC134" s="132"/>
      <c r="AD134" s="132"/>
      <c r="AE134" s="4"/>
      <c r="AF134" s="4"/>
      <c r="AG134" s="4"/>
      <c r="AH134" s="4"/>
      <c r="AI134" s="4"/>
      <c r="AJ134" s="4"/>
      <c r="AK134" s="4"/>
      <c r="AL134" s="4"/>
      <c r="AM134" s="4"/>
      <c r="AN134" s="4"/>
      <c r="AO134" s="4"/>
      <c r="AP134" s="4"/>
      <c r="AQ134" s="4"/>
      <c r="AR134" s="4"/>
      <c r="AS134" s="4"/>
      <c r="AT134" s="4"/>
      <c r="AU134" s="4"/>
      <c r="AV134" s="4"/>
      <c r="AW134" s="4"/>
      <c r="AX134" s="4"/>
      <c r="AY134" s="4"/>
      <c r="AZ134" s="4"/>
      <c r="BA134" s="4"/>
      <c r="BB134" s="4"/>
    </row>
    <row r="135" spans="1:54" s="141" customFormat="1">
      <c r="A135" s="2">
        <v>2021</v>
      </c>
      <c r="B135" s="2" t="s">
        <v>3</v>
      </c>
      <c r="C135" s="15"/>
      <c r="D135" s="15"/>
      <c r="E135" s="7"/>
      <c r="F135" s="15"/>
      <c r="G135" s="160">
        <v>695.5304865247831</v>
      </c>
      <c r="H135" s="160">
        <v>0</v>
      </c>
      <c r="I135" s="2">
        <v>28</v>
      </c>
      <c r="J135" s="7">
        <v>756.55578484805983</v>
      </c>
      <c r="K135" s="7">
        <v>464681.21436755557</v>
      </c>
      <c r="L135" s="7">
        <v>4153348.2731425897</v>
      </c>
      <c r="M135" s="7"/>
      <c r="N135" s="135"/>
      <c r="O135" s="7"/>
      <c r="P135" s="2"/>
      <c r="Q135" s="245">
        <f t="shared" si="12"/>
        <v>9062149.27974586</v>
      </c>
      <c r="R135" s="7"/>
      <c r="S135" s="139"/>
      <c r="T135" s="139"/>
      <c r="U135" s="4"/>
      <c r="V135" s="214">
        <f>'2a. Power Purchased Model '!Q135</f>
        <v>9900418.4435431417</v>
      </c>
      <c r="W135" s="214">
        <f t="shared" si="10"/>
        <v>-838269.16379728168</v>
      </c>
      <c r="X135" s="242">
        <f t="shared" si="11"/>
        <v>-8.4670074156712474E-2</v>
      </c>
      <c r="Y135" s="361"/>
      <c r="Z135" s="132"/>
      <c r="AA135" s="132"/>
      <c r="AB135" s="132"/>
      <c r="AC135" s="132"/>
      <c r="AD135" s="132"/>
      <c r="AE135" s="4"/>
      <c r="AF135" s="4"/>
      <c r="AG135" s="4"/>
      <c r="AH135" s="4"/>
      <c r="AI135" s="4"/>
      <c r="AJ135" s="4"/>
      <c r="AK135" s="4"/>
      <c r="AL135" s="4"/>
      <c r="AM135" s="4"/>
      <c r="AN135" s="4"/>
      <c r="AO135" s="4"/>
      <c r="AP135" s="4"/>
      <c r="AQ135" s="4"/>
      <c r="AR135" s="4"/>
      <c r="AS135" s="4"/>
      <c r="AT135" s="4"/>
      <c r="AU135" s="4"/>
      <c r="AV135" s="4"/>
      <c r="AW135" s="4"/>
      <c r="AX135" s="4"/>
      <c r="AY135" s="4"/>
      <c r="AZ135" s="4"/>
      <c r="BA135" s="4"/>
      <c r="BB135" s="4"/>
    </row>
    <row r="136" spans="1:54" s="141" customFormat="1">
      <c r="A136" s="2">
        <v>2021</v>
      </c>
      <c r="B136" s="2" t="s">
        <v>4</v>
      </c>
      <c r="C136" s="15"/>
      <c r="D136" s="15"/>
      <c r="E136" s="7"/>
      <c r="F136" s="15"/>
      <c r="G136" s="160">
        <v>634.71289682539646</v>
      </c>
      <c r="H136" s="160">
        <v>0.29142857142857537</v>
      </c>
      <c r="I136" s="2">
        <v>31</v>
      </c>
      <c r="J136" s="7">
        <v>757.01623519571558</v>
      </c>
      <c r="K136" s="7">
        <v>465843.2259006268</v>
      </c>
      <c r="L136" s="7">
        <v>4552809.7978682304</v>
      </c>
      <c r="M136" s="7"/>
      <c r="N136" s="135"/>
      <c r="O136" s="7"/>
      <c r="P136" s="2"/>
      <c r="Q136" s="245">
        <f t="shared" si="12"/>
        <v>9643607.7553629652</v>
      </c>
      <c r="R136" s="7"/>
      <c r="S136" s="139"/>
      <c r="T136" s="139"/>
      <c r="U136" s="4"/>
      <c r="V136" s="214">
        <f>'2a. Power Purchased Model '!Q136</f>
        <v>10491383.014579635</v>
      </c>
      <c r="W136" s="214">
        <f t="shared" si="10"/>
        <v>-847775.25921666995</v>
      </c>
      <c r="X136" s="242">
        <f t="shared" si="11"/>
        <v>-8.080681622609108E-2</v>
      </c>
      <c r="Y136" s="361"/>
      <c r="Z136" s="132"/>
      <c r="AA136" s="132"/>
      <c r="AB136" s="132"/>
      <c r="AC136" s="132"/>
      <c r="AD136" s="132"/>
      <c r="AE136" s="4"/>
      <c r="AF136" s="4"/>
      <c r="AG136" s="4"/>
      <c r="AH136" s="4"/>
      <c r="AI136" s="4"/>
      <c r="AJ136" s="4"/>
      <c r="AK136" s="4"/>
      <c r="AL136" s="4"/>
      <c r="AM136" s="4"/>
      <c r="AN136" s="4"/>
      <c r="AO136" s="4"/>
      <c r="AP136" s="4"/>
      <c r="AQ136" s="4"/>
      <c r="AR136" s="4"/>
      <c r="AS136" s="4"/>
      <c r="AT136" s="4"/>
      <c r="AU136" s="4"/>
      <c r="AV136" s="4"/>
      <c r="AW136" s="4"/>
      <c r="AX136" s="4"/>
      <c r="AY136" s="4"/>
      <c r="AZ136" s="4"/>
      <c r="BA136" s="4"/>
      <c r="BB136" s="4"/>
    </row>
    <row r="137" spans="1:54" s="141" customFormat="1">
      <c r="A137" s="2">
        <v>2021</v>
      </c>
      <c r="B137" s="2" t="s">
        <v>5</v>
      </c>
      <c r="C137" s="15"/>
      <c r="D137" s="15"/>
      <c r="E137" s="7"/>
      <c r="F137" s="15"/>
      <c r="G137" s="160">
        <v>403.76076719576713</v>
      </c>
      <c r="H137" s="160">
        <v>-0.20428571428571729</v>
      </c>
      <c r="I137" s="2">
        <v>30</v>
      </c>
      <c r="J137" s="7">
        <v>757.54857907673227</v>
      </c>
      <c r="K137" s="7">
        <v>467005.23743369809</v>
      </c>
      <c r="L137" s="7">
        <v>4320275.3945680708</v>
      </c>
      <c r="M137" s="7"/>
      <c r="N137" s="135"/>
      <c r="O137" s="7"/>
      <c r="P137" s="2"/>
      <c r="Q137" s="245">
        <f t="shared" si="12"/>
        <v>8702133.2130473685</v>
      </c>
      <c r="R137" s="7"/>
      <c r="S137" s="139"/>
      <c r="T137" s="139"/>
      <c r="U137" s="4"/>
      <c r="V137" s="214">
        <f>'2a. Power Purchased Model '!Q137</f>
        <v>9562651.3110994846</v>
      </c>
      <c r="W137" s="214">
        <f t="shared" si="10"/>
        <v>-860518.09805211611</v>
      </c>
      <c r="X137" s="242">
        <f t="shared" si="11"/>
        <v>-8.9987396806291822E-2</v>
      </c>
      <c r="Y137" s="361"/>
      <c r="Z137" s="132"/>
      <c r="AA137" s="132"/>
      <c r="AB137" s="132"/>
      <c r="AC137" s="132"/>
      <c r="AD137" s="132"/>
      <c r="AE137" s="4"/>
      <c r="AF137" s="4"/>
      <c r="AG137" s="4"/>
      <c r="AH137" s="4"/>
      <c r="AI137" s="4"/>
      <c r="AJ137" s="4"/>
      <c r="AK137" s="4"/>
      <c r="AL137" s="4"/>
      <c r="AM137" s="4"/>
      <c r="AN137" s="4"/>
      <c r="AO137" s="4"/>
      <c r="AP137" s="4"/>
      <c r="AQ137" s="4"/>
      <c r="AR137" s="4"/>
      <c r="AS137" s="4"/>
      <c r="AT137" s="4"/>
      <c r="AU137" s="4"/>
      <c r="AV137" s="4"/>
      <c r="AW137" s="4"/>
      <c r="AX137" s="4"/>
      <c r="AY137" s="4"/>
      <c r="AZ137" s="4"/>
      <c r="BA137" s="4"/>
      <c r="BB137" s="4"/>
    </row>
    <row r="138" spans="1:54" s="141" customFormat="1">
      <c r="A138" s="2">
        <v>2021</v>
      </c>
      <c r="B138" s="2" t="s">
        <v>6</v>
      </c>
      <c r="C138" s="15"/>
      <c r="D138" s="15"/>
      <c r="E138" s="7"/>
      <c r="F138" s="15"/>
      <c r="G138" s="160">
        <v>164.31880952380925</v>
      </c>
      <c r="H138" s="160">
        <v>17.235714285714266</v>
      </c>
      <c r="I138" s="2">
        <v>31</v>
      </c>
      <c r="J138" s="7">
        <v>758.21559370538125</v>
      </c>
      <c r="K138" s="7">
        <v>468167.24896676932</v>
      </c>
      <c r="L138" s="7">
        <v>4571296.2624282008</v>
      </c>
      <c r="M138" s="7"/>
      <c r="N138" s="135"/>
      <c r="O138" s="7"/>
      <c r="P138" s="2"/>
      <c r="Q138" s="245">
        <f t="shared" si="12"/>
        <v>8608655.0105432272</v>
      </c>
      <c r="R138" s="7"/>
      <c r="S138" s="139"/>
      <c r="T138" s="139"/>
      <c r="U138" s="4"/>
      <c r="V138" s="214">
        <f>'2a. Power Purchased Model '!Q138</f>
        <v>9487350.4798442256</v>
      </c>
      <c r="W138" s="214">
        <f t="shared" si="10"/>
        <v>-878695.46930099837</v>
      </c>
      <c r="X138" s="242">
        <f t="shared" si="11"/>
        <v>-9.261758287182259E-2</v>
      </c>
      <c r="Y138" s="361"/>
      <c r="Z138" s="132"/>
      <c r="AA138" s="132"/>
      <c r="AB138" s="132"/>
      <c r="AC138" s="132"/>
      <c r="AD138" s="132"/>
      <c r="AE138" s="4"/>
      <c r="AF138" s="4"/>
      <c r="AG138" s="4"/>
      <c r="AH138" s="4"/>
      <c r="AI138" s="4"/>
      <c r="AJ138" s="4"/>
      <c r="AK138" s="4"/>
      <c r="AL138" s="4"/>
      <c r="AM138" s="4"/>
      <c r="AN138" s="4"/>
      <c r="AO138" s="4"/>
      <c r="AP138" s="4"/>
      <c r="AQ138" s="4"/>
      <c r="AR138" s="4"/>
      <c r="AS138" s="4"/>
      <c r="AT138" s="4"/>
      <c r="AU138" s="4"/>
      <c r="AV138" s="4"/>
      <c r="AW138" s="4"/>
      <c r="AX138" s="4"/>
      <c r="AY138" s="4"/>
      <c r="AZ138" s="4"/>
      <c r="BA138" s="4"/>
      <c r="BB138" s="4"/>
    </row>
    <row r="139" spans="1:54" s="141" customFormat="1">
      <c r="A139" s="2">
        <v>2021</v>
      </c>
      <c r="B139" s="2" t="s">
        <v>7</v>
      </c>
      <c r="C139" s="15"/>
      <c r="D139" s="15"/>
      <c r="E139" s="7"/>
      <c r="F139" s="15"/>
      <c r="G139" s="160">
        <v>53.822010364273865</v>
      </c>
      <c r="H139" s="160">
        <v>26.652857142856874</v>
      </c>
      <c r="I139" s="2">
        <v>30</v>
      </c>
      <c r="J139" s="7">
        <v>758.95368728982714</v>
      </c>
      <c r="K139" s="7">
        <v>469329.2604998406</v>
      </c>
      <c r="L139" s="7">
        <v>4462329.8412602898</v>
      </c>
      <c r="M139" s="7"/>
      <c r="N139" s="135"/>
      <c r="O139" s="7"/>
      <c r="P139" s="2"/>
      <c r="Q139" s="245">
        <f t="shared" si="12"/>
        <v>8192701.3135849312</v>
      </c>
      <c r="R139" s="7"/>
      <c r="S139" s="139"/>
      <c r="T139" s="139"/>
      <c r="U139" s="4"/>
      <c r="V139" s="214">
        <f>'2a. Power Purchased Model '!Q139</f>
        <v>9104184.9771304447</v>
      </c>
      <c r="W139" s="214">
        <f t="shared" si="10"/>
        <v>-911483.66354551353</v>
      </c>
      <c r="X139" s="242">
        <f t="shared" si="11"/>
        <v>-0.10011699738473512</v>
      </c>
      <c r="Y139" s="361"/>
      <c r="Z139" s="132"/>
      <c r="AA139" s="132"/>
      <c r="AB139" s="132"/>
      <c r="AC139" s="132"/>
      <c r="AD139" s="132"/>
      <c r="AE139" s="4"/>
      <c r="AF139" s="4"/>
      <c r="AG139" s="4"/>
      <c r="AH139" s="4"/>
      <c r="AI139" s="4"/>
      <c r="AJ139" s="4"/>
      <c r="AK139" s="4"/>
      <c r="AL139" s="4"/>
      <c r="AM139" s="4"/>
      <c r="AN139" s="4"/>
      <c r="AO139" s="4"/>
      <c r="AP139" s="4"/>
      <c r="AQ139" s="4"/>
      <c r="AR139" s="4"/>
      <c r="AS139" s="4"/>
      <c r="AT139" s="4"/>
      <c r="AU139" s="4"/>
      <c r="AV139" s="4"/>
      <c r="AW139" s="4"/>
      <c r="AX139" s="4"/>
      <c r="AY139" s="4"/>
      <c r="AZ139" s="4"/>
      <c r="BA139" s="4"/>
      <c r="BB139" s="4"/>
    </row>
    <row r="140" spans="1:54" s="141" customFormat="1">
      <c r="A140" s="2">
        <v>2021</v>
      </c>
      <c r="B140" s="2" t="s">
        <v>8</v>
      </c>
      <c r="C140" s="15"/>
      <c r="D140" s="15"/>
      <c r="E140" s="7"/>
      <c r="F140" s="15"/>
      <c r="G140" s="160">
        <v>13.336984126984134</v>
      </c>
      <c r="H140" s="160">
        <v>73.294444444444707</v>
      </c>
      <c r="I140" s="2">
        <v>31</v>
      </c>
      <c r="J140" s="7">
        <v>759.85594326810815</v>
      </c>
      <c r="K140" s="7">
        <v>470491.27203291183</v>
      </c>
      <c r="L140" s="7">
        <v>4225037.1975728208</v>
      </c>
      <c r="M140" s="7"/>
      <c r="N140" s="135"/>
      <c r="O140" s="7"/>
      <c r="P140" s="2"/>
      <c r="Q140" s="245">
        <f t="shared" si="12"/>
        <v>8468639.9999123849</v>
      </c>
      <c r="R140" s="7"/>
      <c r="S140" s="139"/>
      <c r="T140" s="139"/>
      <c r="U140" s="4"/>
      <c r="V140" s="214">
        <f>'2a. Power Purchased Model '!Q140</f>
        <v>9311429.0827985816</v>
      </c>
      <c r="W140" s="214">
        <f t="shared" si="10"/>
        <v>-842789.08288619667</v>
      </c>
      <c r="X140" s="242">
        <f t="shared" si="11"/>
        <v>-9.0511249711724542E-2</v>
      </c>
      <c r="Y140" s="361"/>
      <c r="Z140" s="132"/>
      <c r="AA140" s="132"/>
      <c r="AB140" s="132"/>
      <c r="AC140" s="132"/>
      <c r="AD140" s="132"/>
      <c r="AE140" s="4"/>
      <c r="AF140" s="4"/>
      <c r="AG140" s="4"/>
      <c r="AH140" s="4"/>
      <c r="AI140" s="4"/>
      <c r="AJ140" s="4"/>
      <c r="AK140" s="4"/>
      <c r="AL140" s="4"/>
      <c r="AM140" s="4"/>
      <c r="AN140" s="4"/>
      <c r="AO140" s="4"/>
      <c r="AP140" s="4"/>
      <c r="AQ140" s="4"/>
      <c r="AR140" s="4"/>
      <c r="AS140" s="4"/>
      <c r="AT140" s="4"/>
      <c r="AU140" s="4"/>
      <c r="AV140" s="4"/>
      <c r="AW140" s="4"/>
      <c r="AX140" s="4"/>
      <c r="AY140" s="4"/>
      <c r="AZ140" s="4"/>
      <c r="BA140" s="4"/>
      <c r="BB140" s="4"/>
    </row>
    <row r="141" spans="1:54" s="141" customFormat="1">
      <c r="A141" s="2">
        <v>2021</v>
      </c>
      <c r="B141" s="2" t="s">
        <v>9</v>
      </c>
      <c r="C141" s="15"/>
      <c r="D141" s="15"/>
      <c r="E141" s="7"/>
      <c r="F141" s="15"/>
      <c r="G141" s="160">
        <v>23.479523809523698</v>
      </c>
      <c r="H141" s="160">
        <v>51.905053889868668</v>
      </c>
      <c r="I141" s="2">
        <v>31</v>
      </c>
      <c r="J141" s="7">
        <v>760.92159922691576</v>
      </c>
      <c r="K141" s="7">
        <v>471653.28356598312</v>
      </c>
      <c r="L141" s="7">
        <v>4814531.9147933107</v>
      </c>
      <c r="M141" s="7"/>
      <c r="N141" s="135"/>
      <c r="O141" s="7"/>
      <c r="P141" s="2"/>
      <c r="Q141" s="245">
        <f t="shared" si="12"/>
        <v>8813838.4702125713</v>
      </c>
      <c r="R141" s="7"/>
      <c r="S141" s="139"/>
      <c r="T141" s="139"/>
      <c r="U141" s="4"/>
      <c r="V141" s="214">
        <f>'2a. Power Purchased Model '!Q141</f>
        <v>9703855.7126059961</v>
      </c>
      <c r="W141" s="214">
        <f t="shared" si="10"/>
        <v>-890017.24239342473</v>
      </c>
      <c r="X141" s="242">
        <f t="shared" si="11"/>
        <v>-9.1717897375290652E-2</v>
      </c>
      <c r="Y141" s="361"/>
      <c r="Z141" s="132"/>
      <c r="AA141" s="132"/>
      <c r="AB141" s="132"/>
      <c r="AC141" s="132"/>
      <c r="AD141" s="132"/>
      <c r="AE141" s="4"/>
      <c r="AF141" s="4"/>
      <c r="AG141" s="4"/>
      <c r="AH141" s="4"/>
      <c r="AI141" s="4"/>
      <c r="AJ141" s="4"/>
      <c r="AK141" s="4"/>
      <c r="AL141" s="4"/>
      <c r="AM141" s="4"/>
      <c r="AN141" s="4"/>
      <c r="AO141" s="4"/>
      <c r="AP141" s="4"/>
      <c r="AQ141" s="4"/>
      <c r="AR141" s="4"/>
      <c r="AS141" s="4"/>
      <c r="AT141" s="4"/>
      <c r="AU141" s="4"/>
      <c r="AV141" s="4"/>
      <c r="AW141" s="4"/>
      <c r="AX141" s="4"/>
      <c r="AY141" s="4"/>
      <c r="AZ141" s="4"/>
      <c r="BA141" s="4"/>
      <c r="BB141" s="4"/>
    </row>
    <row r="142" spans="1:54" s="141" customFormat="1">
      <c r="A142" s="2">
        <v>2021</v>
      </c>
      <c r="B142" s="2" t="s">
        <v>10</v>
      </c>
      <c r="C142" s="15"/>
      <c r="D142" s="15"/>
      <c r="E142" s="7"/>
      <c r="F142" s="15"/>
      <c r="G142" s="160">
        <v>87.805714285714203</v>
      </c>
      <c r="H142" s="160">
        <v>27.90119047619055</v>
      </c>
      <c r="I142" s="2">
        <v>30</v>
      </c>
      <c r="J142" s="7">
        <v>762.05215130454576</v>
      </c>
      <c r="K142" s="7">
        <v>472815.29509905435</v>
      </c>
      <c r="L142" s="7">
        <v>4523832.6561036911</v>
      </c>
      <c r="M142" s="7"/>
      <c r="N142" s="135"/>
      <c r="O142" s="7"/>
      <c r="P142" s="2"/>
      <c r="Q142" s="245">
        <f t="shared" si="12"/>
        <v>8350135.3917553946</v>
      </c>
      <c r="R142" s="7"/>
      <c r="S142" s="139"/>
      <c r="T142" s="139"/>
      <c r="U142" s="4"/>
      <c r="V142" s="214">
        <f>'2a. Power Purchased Model '!Q142</f>
        <v>9241469.4499527141</v>
      </c>
      <c r="W142" s="214">
        <f t="shared" si="10"/>
        <v>-891334.05819731951</v>
      </c>
      <c r="X142" s="242">
        <f t="shared" si="11"/>
        <v>-9.6449386434089249E-2</v>
      </c>
      <c r="Y142" s="361"/>
      <c r="Z142" s="132"/>
      <c r="AA142" s="132"/>
      <c r="AB142" s="132"/>
      <c r="AC142" s="132"/>
      <c r="AD142" s="132"/>
      <c r="AE142" s="4"/>
      <c r="AF142" s="4"/>
      <c r="AG142" s="4"/>
      <c r="AH142" s="4"/>
      <c r="AI142" s="4"/>
      <c r="AJ142" s="4"/>
      <c r="AK142" s="4"/>
      <c r="AL142" s="4"/>
      <c r="AM142" s="4"/>
      <c r="AN142" s="4"/>
      <c r="AO142" s="4"/>
      <c r="AP142" s="4"/>
      <c r="AQ142" s="4"/>
      <c r="AR142" s="4"/>
      <c r="AS142" s="4"/>
      <c r="AT142" s="4"/>
      <c r="AU142" s="4"/>
      <c r="AV142" s="4"/>
      <c r="AW142" s="4"/>
      <c r="AX142" s="4"/>
      <c r="AY142" s="4"/>
      <c r="AZ142" s="4"/>
      <c r="BA142" s="4"/>
      <c r="BB142" s="4"/>
    </row>
    <row r="143" spans="1:54" s="141" customFormat="1">
      <c r="A143" s="2">
        <v>2021</v>
      </c>
      <c r="B143" s="2" t="s">
        <v>11</v>
      </c>
      <c r="C143" s="15"/>
      <c r="D143" s="15"/>
      <c r="E143" s="7"/>
      <c r="F143" s="15"/>
      <c r="G143" s="160">
        <v>277.20015873015882</v>
      </c>
      <c r="H143" s="160">
        <v>2.0714285714285712</v>
      </c>
      <c r="I143" s="2">
        <v>31</v>
      </c>
      <c r="J143" s="7">
        <v>763.08500122486407</v>
      </c>
      <c r="K143" s="7">
        <v>473977.30663212563</v>
      </c>
      <c r="L143" s="7">
        <v>4678280.3545996398</v>
      </c>
      <c r="M143" s="7"/>
      <c r="N143" s="135"/>
      <c r="O143" s="7"/>
      <c r="P143" s="2"/>
      <c r="Q143" s="245">
        <f t="shared" si="12"/>
        <v>8846410.4834322482</v>
      </c>
      <c r="R143" s="7"/>
      <c r="S143" s="139"/>
      <c r="T143" s="139"/>
      <c r="U143" s="4"/>
      <c r="V143" s="214">
        <f>'2a. Power Purchased Model '!Q143</f>
        <v>9742928.9047317859</v>
      </c>
      <c r="W143" s="214">
        <f t="shared" si="10"/>
        <v>-896518.42129953764</v>
      </c>
      <c r="X143" s="242">
        <f t="shared" si="11"/>
        <v>-9.20173420196191E-2</v>
      </c>
      <c r="Y143" s="361"/>
      <c r="Z143" s="132"/>
      <c r="AA143" s="132"/>
      <c r="AB143" s="132"/>
      <c r="AC143" s="132"/>
      <c r="AD143" s="132"/>
      <c r="AE143" s="4"/>
      <c r="AF143" s="4"/>
      <c r="AG143" s="4"/>
      <c r="AH143" s="4"/>
      <c r="AI143" s="4"/>
      <c r="AJ143" s="4"/>
      <c r="AK143" s="4"/>
      <c r="AL143" s="4"/>
      <c r="AM143" s="4"/>
      <c r="AN143" s="4"/>
      <c r="AO143" s="4"/>
      <c r="AP143" s="4"/>
      <c r="AQ143" s="4"/>
      <c r="AR143" s="4"/>
      <c r="AS143" s="4"/>
      <c r="AT143" s="4"/>
      <c r="AU143" s="4"/>
      <c r="AV143" s="4"/>
      <c r="AW143" s="4"/>
      <c r="AX143" s="4"/>
      <c r="AY143" s="4"/>
      <c r="AZ143" s="4"/>
      <c r="BA143" s="4"/>
      <c r="BB143" s="4"/>
    </row>
    <row r="144" spans="1:54" s="141" customFormat="1">
      <c r="A144" s="2">
        <v>2021</v>
      </c>
      <c r="B144" s="2" t="s">
        <v>12</v>
      </c>
      <c r="C144" s="15"/>
      <c r="D144" s="15"/>
      <c r="E144" s="7"/>
      <c r="F144" s="15"/>
      <c r="G144" s="160">
        <v>503.52571428571355</v>
      </c>
      <c r="H144" s="160">
        <v>0</v>
      </c>
      <c r="I144" s="2">
        <v>30</v>
      </c>
      <c r="J144" s="7">
        <v>764.01206148511562</v>
      </c>
      <c r="K144" s="7">
        <v>475139.31816519692</v>
      </c>
      <c r="L144" s="7">
        <v>4337673.9376223106</v>
      </c>
      <c r="M144" s="7"/>
      <c r="N144" s="135"/>
      <c r="O144" s="7"/>
      <c r="P144" s="2"/>
      <c r="Q144" s="245">
        <f t="shared" si="12"/>
        <v>8979531.47286194</v>
      </c>
      <c r="R144" s="7"/>
      <c r="S144" s="139"/>
      <c r="T144" s="139"/>
      <c r="U144" s="4"/>
      <c r="V144" s="214">
        <f>'2a. Power Purchased Model '!Q144</f>
        <v>9804303.7855220474</v>
      </c>
      <c r="W144" s="214">
        <f t="shared" si="10"/>
        <v>-824772.31266010739</v>
      </c>
      <c r="X144" s="242">
        <f t="shared" si="11"/>
        <v>-8.4123496242338322E-2</v>
      </c>
      <c r="Y144" s="361"/>
      <c r="Z144" s="132"/>
      <c r="AA144" s="132"/>
      <c r="AB144" s="132"/>
      <c r="AC144" s="132"/>
      <c r="AD144" s="132"/>
      <c r="AE144" s="4"/>
      <c r="AF144" s="4"/>
      <c r="AG144" s="4"/>
      <c r="AH144" s="4"/>
      <c r="AI144" s="4"/>
      <c r="AJ144" s="4"/>
      <c r="AK144" s="4"/>
      <c r="AL144" s="4"/>
      <c r="AM144" s="4"/>
      <c r="AN144" s="4"/>
      <c r="AO144" s="4"/>
      <c r="AP144" s="4"/>
      <c r="AQ144" s="4"/>
      <c r="AR144" s="4"/>
      <c r="AS144" s="4"/>
      <c r="AT144" s="4"/>
      <c r="AU144" s="4"/>
      <c r="AV144" s="4"/>
      <c r="AW144" s="4"/>
      <c r="AX144" s="4"/>
      <c r="AY144" s="4"/>
      <c r="AZ144" s="4"/>
      <c r="BA144" s="4"/>
      <c r="BB144" s="4"/>
    </row>
    <row r="145" spans="1:54" s="141" customFormat="1">
      <c r="A145" s="2">
        <v>2021</v>
      </c>
      <c r="B145" s="2" t="s">
        <v>13</v>
      </c>
      <c r="C145" s="15"/>
      <c r="D145" s="15"/>
      <c r="E145" s="7"/>
      <c r="F145" s="15"/>
      <c r="G145" s="160">
        <v>642.63911228688994</v>
      </c>
      <c r="H145" s="160">
        <v>0</v>
      </c>
      <c r="I145" s="2">
        <v>31</v>
      </c>
      <c r="J145" s="7">
        <v>764.8471869187938</v>
      </c>
      <c r="K145" s="7">
        <v>476301.32969826815</v>
      </c>
      <c r="L145" s="7">
        <v>3789382.4527209401</v>
      </c>
      <c r="M145" s="7"/>
      <c r="N145" s="135"/>
      <c r="O145" s="7"/>
      <c r="P145" s="2"/>
      <c r="Q145" s="245">
        <f t="shared" si="12"/>
        <v>8968456.8630596809</v>
      </c>
      <c r="R145" s="7"/>
      <c r="S145" s="139"/>
      <c r="T145" s="139"/>
      <c r="U145" s="4"/>
      <c r="V145" s="214">
        <f>'2a. Power Purchased Model '!Q145</f>
        <v>9781667.9093340728</v>
      </c>
      <c r="W145" s="214">
        <f t="shared" si="10"/>
        <v>-813211.04627439193</v>
      </c>
      <c r="X145" s="242">
        <f t="shared" si="11"/>
        <v>-8.3136235436738995E-2</v>
      </c>
      <c r="Y145" s="361"/>
      <c r="Z145" s="132"/>
      <c r="AA145" s="132"/>
      <c r="AB145" s="132"/>
      <c r="AC145" s="132"/>
      <c r="AD145" s="132"/>
      <c r="AE145" s="4"/>
      <c r="AF145" s="4"/>
      <c r="AG145" s="4"/>
      <c r="AH145" s="4"/>
      <c r="AI145" s="4"/>
      <c r="AJ145" s="4"/>
      <c r="AK145" s="4"/>
      <c r="AL145" s="4"/>
      <c r="AM145" s="4"/>
      <c r="AN145" s="4"/>
      <c r="AO145" s="4"/>
      <c r="AP145" s="4"/>
      <c r="AQ145" s="4"/>
      <c r="AR145" s="4"/>
      <c r="AS145" s="4"/>
      <c r="AT145" s="4"/>
      <c r="AU145" s="4"/>
      <c r="AV145" s="4"/>
      <c r="AW145" s="4"/>
      <c r="AX145" s="4"/>
      <c r="AY145" s="4"/>
      <c r="AZ145" s="4"/>
      <c r="BA145" s="4"/>
      <c r="BB145" s="4"/>
    </row>
    <row r="146" spans="1:54">
      <c r="C146" s="15"/>
      <c r="D146" s="15"/>
      <c r="E146" s="15"/>
      <c r="F146" s="15"/>
      <c r="V146" s="132"/>
      <c r="W146" s="132"/>
      <c r="X146" s="132"/>
      <c r="Y146" s="132"/>
      <c r="Z146" s="132"/>
      <c r="AA146" s="132"/>
      <c r="AB146" s="132"/>
      <c r="AC146" s="132"/>
      <c r="AD146" s="132"/>
    </row>
    <row r="147" spans="1:54">
      <c r="C147" s="15"/>
      <c r="D147" s="15"/>
      <c r="E147" s="15"/>
      <c r="F147" s="15"/>
      <c r="V147" s="132"/>
      <c r="W147" s="132"/>
      <c r="X147" s="132"/>
      <c r="Y147" s="132"/>
      <c r="Z147" s="132"/>
      <c r="AA147" s="132"/>
      <c r="AB147" s="132"/>
      <c r="AC147" s="132"/>
      <c r="AD147" s="132"/>
    </row>
    <row r="148" spans="1:54">
      <c r="C148" s="15"/>
      <c r="D148" s="15"/>
      <c r="E148" s="15"/>
      <c r="F148" s="15"/>
      <c r="V148" s="132"/>
      <c r="W148" s="132"/>
      <c r="X148" s="132"/>
      <c r="Y148" s="132"/>
      <c r="Z148" s="132"/>
      <c r="AA148" s="132"/>
      <c r="AB148" s="132"/>
      <c r="AC148" s="132"/>
      <c r="AD148" s="132"/>
    </row>
    <row r="149" spans="1:54">
      <c r="C149" s="15"/>
      <c r="D149" s="15"/>
      <c r="E149" s="15"/>
      <c r="F149" s="15"/>
      <c r="V149" s="132"/>
      <c r="W149" s="132"/>
      <c r="X149" s="132"/>
      <c r="Y149" s="132"/>
      <c r="Z149" s="132"/>
      <c r="AA149" s="132"/>
      <c r="AB149" s="132"/>
      <c r="AC149" s="132"/>
      <c r="AD149" s="132"/>
    </row>
    <row r="150" spans="1:54">
      <c r="C150" s="15"/>
      <c r="D150" s="15"/>
      <c r="E150" s="15"/>
      <c r="F150" s="15"/>
      <c r="V150" s="132"/>
      <c r="W150" s="132"/>
      <c r="X150" s="132"/>
      <c r="Y150" s="132"/>
      <c r="Z150" s="132"/>
      <c r="AA150" s="132"/>
      <c r="AB150" s="132"/>
      <c r="AC150" s="132"/>
      <c r="AD150" s="132"/>
    </row>
    <row r="151" spans="1:54">
      <c r="C151" s="15"/>
      <c r="D151" s="15"/>
      <c r="E151" s="15"/>
      <c r="F151" s="15"/>
      <c r="V151" s="132"/>
      <c r="W151" s="132"/>
      <c r="X151" s="132"/>
      <c r="Y151" s="132"/>
      <c r="Z151" s="132"/>
      <c r="AA151" s="132"/>
      <c r="AB151" s="132"/>
      <c r="AC151" s="132"/>
      <c r="AD151" s="132"/>
    </row>
    <row r="152" spans="1:54">
      <c r="A152" s="2">
        <v>2010</v>
      </c>
      <c r="C152" s="15">
        <f>SUM(C2:C13)</f>
        <v>102608221.91384616</v>
      </c>
      <c r="D152" s="15">
        <f t="shared" ref="D152:E152" si="13">SUM(D2:D13)</f>
        <v>24.24</v>
      </c>
      <c r="E152" s="15">
        <f t="shared" si="13"/>
        <v>102608246.15384616</v>
      </c>
      <c r="F152" s="15"/>
      <c r="Q152" s="15">
        <f t="shared" ref="Q152" si="14">SUM(Q2:Q13)</f>
        <v>102173701.10009556</v>
      </c>
      <c r="V152" s="132"/>
      <c r="W152" s="132"/>
      <c r="X152" s="132"/>
      <c r="Y152" s="132"/>
      <c r="Z152" s="132"/>
      <c r="AA152" s="132"/>
      <c r="AB152" s="132"/>
      <c r="AC152" s="132"/>
      <c r="AD152" s="132"/>
    </row>
    <row r="153" spans="1:54">
      <c r="A153" s="2">
        <v>2011</v>
      </c>
      <c r="C153" s="15">
        <f>SUM(C14:C25)</f>
        <v>105408568.24846154</v>
      </c>
      <c r="D153" s="15">
        <f t="shared" ref="D153:E153" si="15">SUM(D14:D25)</f>
        <v>83693.289999999994</v>
      </c>
      <c r="E153" s="15">
        <f t="shared" si="15"/>
        <v>105492261.53846154</v>
      </c>
      <c r="F153" s="15"/>
      <c r="Q153" s="15">
        <f t="shared" ref="Q153" si="16">SUM(Q14:Q25)</f>
        <v>105683888.57672909</v>
      </c>
      <c r="V153" s="132"/>
      <c r="W153" s="132"/>
      <c r="X153" s="132"/>
      <c r="Y153" s="132"/>
      <c r="Z153" s="132"/>
      <c r="AA153" s="132"/>
      <c r="AB153" s="132"/>
      <c r="AC153" s="132"/>
      <c r="AD153" s="132"/>
    </row>
    <row r="154" spans="1:54">
      <c r="A154" s="2">
        <v>2012</v>
      </c>
      <c r="C154" s="15">
        <f>SUM(C26:C37)</f>
        <v>108150644.08454545</v>
      </c>
      <c r="D154" s="15">
        <f t="shared" ref="D154:E154" si="17">SUM(D26:D37)</f>
        <v>135101.37</v>
      </c>
      <c r="E154" s="15">
        <f t="shared" si="17"/>
        <v>108285745.45454547</v>
      </c>
      <c r="F154" s="15"/>
      <c r="Q154" s="15">
        <f t="shared" ref="Q154" si="18">SUM(Q26:Q37)</f>
        <v>108029545.8436258</v>
      </c>
      <c r="V154" s="132"/>
      <c r="W154" s="132"/>
      <c r="X154" s="132"/>
      <c r="Y154" s="132"/>
      <c r="Z154" s="132"/>
      <c r="AA154" s="132"/>
      <c r="AB154" s="132"/>
      <c r="AC154" s="132"/>
      <c r="AD154" s="132"/>
    </row>
    <row r="155" spans="1:54">
      <c r="A155" s="2">
        <v>2013</v>
      </c>
      <c r="C155" s="15">
        <f>SUM(C38:C49)</f>
        <v>110742929.67</v>
      </c>
      <c r="D155" s="15">
        <f t="shared" ref="D155:E155" si="19">SUM(D38:D49)</f>
        <v>220117.15</v>
      </c>
      <c r="E155" s="15">
        <f t="shared" si="19"/>
        <v>110963046.82000002</v>
      </c>
      <c r="F155" s="15"/>
      <c r="Q155" s="15">
        <f t="shared" ref="Q155" si="20">SUM(Q38:Q49)</f>
        <v>111196047.45573741</v>
      </c>
      <c r="V155" s="132"/>
      <c r="W155" s="132"/>
      <c r="X155" s="132"/>
      <c r="Y155" s="132"/>
      <c r="Z155" s="132"/>
      <c r="AA155" s="132"/>
      <c r="AB155" s="132"/>
      <c r="AC155" s="132"/>
      <c r="AD155" s="132"/>
    </row>
    <row r="156" spans="1:54">
      <c r="A156" s="2">
        <v>2014</v>
      </c>
      <c r="C156" s="15">
        <f>SUM(C50:C61)</f>
        <v>111901997.43589744</v>
      </c>
      <c r="D156" s="15">
        <f t="shared" ref="D156:E156" si="21">SUM(D50:D61)</f>
        <v>301047.27999999997</v>
      </c>
      <c r="E156" s="15">
        <f t="shared" si="21"/>
        <v>112203044.71589744</v>
      </c>
      <c r="F156" s="15"/>
      <c r="Q156" s="15">
        <f t="shared" ref="Q156" si="22">SUM(Q50:Q61)</f>
        <v>112379327.29251103</v>
      </c>
      <c r="V156" s="132"/>
      <c r="W156" s="132"/>
      <c r="X156" s="132"/>
      <c r="Y156" s="132"/>
      <c r="Z156" s="132"/>
      <c r="AA156" s="132"/>
      <c r="AB156" s="132"/>
      <c r="AC156" s="132"/>
      <c r="AD156" s="132"/>
    </row>
    <row r="157" spans="1:54">
      <c r="A157" s="2">
        <v>2015</v>
      </c>
      <c r="C157" s="15">
        <f>SUM(C62:C73)</f>
        <v>111789846.15384617</v>
      </c>
      <c r="D157" s="15">
        <f t="shared" ref="D157:E157" si="23">SUM(D62:D73)</f>
        <v>388572.35</v>
      </c>
      <c r="E157" s="15">
        <f t="shared" si="23"/>
        <v>112178418.50384614</v>
      </c>
      <c r="F157" s="15"/>
      <c r="Q157" s="15">
        <f t="shared" ref="Q157" si="24">SUM(Q62:Q73)</f>
        <v>112108113.62844616</v>
      </c>
      <c r="V157" s="132"/>
      <c r="W157" s="132"/>
      <c r="X157" s="132"/>
      <c r="Y157" s="132"/>
      <c r="Z157" s="132"/>
      <c r="AA157" s="132"/>
      <c r="AB157" s="132"/>
      <c r="AC157" s="132"/>
      <c r="AD157" s="132"/>
    </row>
    <row r="158" spans="1:54">
      <c r="A158" s="2">
        <v>2016</v>
      </c>
      <c r="C158" s="15">
        <f>SUM(C74:C85)</f>
        <v>108698807.69230768</v>
      </c>
      <c r="D158" s="15">
        <f t="shared" ref="D158:E158" si="25">SUM(D74:D85)</f>
        <v>413214.74000000005</v>
      </c>
      <c r="E158" s="15">
        <f t="shared" si="25"/>
        <v>109112022.43230771</v>
      </c>
      <c r="F158" s="15"/>
      <c r="Q158" s="15">
        <f t="shared" ref="Q158" si="26">SUM(Q74:Q85)</f>
        <v>108980114.88682649</v>
      </c>
      <c r="V158" s="132"/>
      <c r="W158" s="132"/>
      <c r="X158" s="132"/>
      <c r="Y158" s="132"/>
      <c r="Z158" s="132"/>
      <c r="AA158" s="132"/>
      <c r="AB158" s="132"/>
      <c r="AC158" s="132"/>
      <c r="AD158" s="132"/>
    </row>
    <row r="159" spans="1:54">
      <c r="A159" s="2">
        <v>2017</v>
      </c>
      <c r="C159" s="15">
        <f>SUM(C86:C97)</f>
        <v>106743638.0952381</v>
      </c>
      <c r="D159" s="15">
        <f t="shared" ref="D159:E159" si="27">SUM(D86:D97)</f>
        <v>379103.91</v>
      </c>
      <c r="E159" s="15">
        <f t="shared" si="27"/>
        <v>107122742.0052381</v>
      </c>
      <c r="F159" s="15"/>
      <c r="Q159" s="15">
        <f t="shared" ref="Q159" si="28">SUM(Q86:Q97)</f>
        <v>107482226.4768178</v>
      </c>
      <c r="V159" s="132"/>
      <c r="W159" s="132"/>
      <c r="X159" s="132"/>
      <c r="Y159" s="132"/>
      <c r="Z159" s="132"/>
      <c r="AA159" s="132"/>
      <c r="AB159" s="132"/>
      <c r="AC159" s="132"/>
      <c r="AD159" s="132"/>
    </row>
    <row r="160" spans="1:54">
      <c r="A160" s="2">
        <v>2018</v>
      </c>
      <c r="C160" s="15">
        <f>SUM(C98:C109)</f>
        <v>106275600.00000001</v>
      </c>
      <c r="D160" s="15">
        <f t="shared" ref="D160:E160" si="29">SUM(D98:D109)</f>
        <v>391087.57999999996</v>
      </c>
      <c r="E160" s="15">
        <f t="shared" si="29"/>
        <v>106666687.58000003</v>
      </c>
      <c r="F160" s="15"/>
      <c r="Q160" s="15">
        <f t="shared" ref="Q160" si="30">SUM(Q98:Q109)</f>
        <v>106776885.49057762</v>
      </c>
      <c r="V160" s="132"/>
      <c r="W160" s="132"/>
      <c r="X160" s="132"/>
      <c r="Y160" s="132"/>
      <c r="Z160" s="132"/>
      <c r="AA160" s="132"/>
      <c r="AB160" s="132"/>
      <c r="AC160" s="132"/>
      <c r="AD160" s="132"/>
    </row>
    <row r="161" spans="1:30">
      <c r="A161" s="2">
        <v>2019</v>
      </c>
      <c r="C161" s="15">
        <f>SUM(C110:C121)</f>
        <v>104522560</v>
      </c>
      <c r="D161" s="15">
        <f t="shared" ref="D161:E161" si="31">SUM(D110:D121)</f>
        <v>392026.13999999996</v>
      </c>
      <c r="E161" s="15">
        <f t="shared" si="31"/>
        <v>104914586.14000002</v>
      </c>
      <c r="F161" s="15"/>
      <c r="Q161" s="15">
        <f t="shared" ref="Q161" si="32">SUM(Q110:Q121)</f>
        <v>104736950.59277588</v>
      </c>
      <c r="V161" s="132"/>
      <c r="W161" s="132"/>
      <c r="X161" s="132"/>
      <c r="Y161" s="132"/>
      <c r="Z161" s="132"/>
      <c r="AA161" s="132"/>
      <c r="AB161" s="132"/>
      <c r="AC161" s="132"/>
      <c r="AD161" s="132"/>
    </row>
    <row r="162" spans="1:30">
      <c r="C162" s="15"/>
      <c r="D162" s="15"/>
      <c r="E162" s="15"/>
      <c r="F162" s="15"/>
      <c r="R162" s="216" t="s">
        <v>180</v>
      </c>
      <c r="V162" s="132"/>
      <c r="W162" s="132"/>
      <c r="X162" s="132"/>
      <c r="Y162" s="132"/>
      <c r="Z162" s="132"/>
      <c r="AA162" s="132"/>
      <c r="AB162" s="132"/>
      <c r="AC162" s="132"/>
      <c r="AD162" s="132"/>
    </row>
    <row r="163" spans="1:30">
      <c r="C163" s="15"/>
      <c r="D163" s="213" t="s">
        <v>32</v>
      </c>
      <c r="E163" s="213">
        <f>SUM(E152:E161)</f>
        <v>1079546801.3441427</v>
      </c>
      <c r="F163" s="15"/>
      <c r="P163" s="213" t="s">
        <v>32</v>
      </c>
      <c r="Q163" s="213">
        <f>SUM(Q152:Q161)</f>
        <v>1079546801.3441429</v>
      </c>
      <c r="R163" s="217">
        <f>E163-Q163</f>
        <v>0</v>
      </c>
      <c r="V163" s="132"/>
      <c r="W163" s="132"/>
      <c r="X163" s="132"/>
      <c r="Y163" s="132"/>
      <c r="Z163" s="132"/>
      <c r="AA163" s="132"/>
      <c r="AB163" s="132"/>
      <c r="AC163" s="132"/>
      <c r="AD163" s="132"/>
    </row>
  </sheetData>
  <mergeCells count="3">
    <mergeCell ref="W121:X121"/>
    <mergeCell ref="Y122:Y133"/>
    <mergeCell ref="Y134:Y145"/>
  </mergeCells>
  <pageMargins left="0.47" right="0.38" top="0.48" bottom="0.28000000000000003" header="0.3" footer="0.3"/>
  <pageSetup scale="71" orientation="landscape"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7" tint="0.59999389629810485"/>
  </sheetPr>
  <dimension ref="A1:S65"/>
  <sheetViews>
    <sheetView workbookViewId="0">
      <pane ySplit="1" topLeftCell="A2" activePane="bottomLeft" state="frozen"/>
      <selection activeCell="Q31" sqref="Q31"/>
      <selection pane="bottomLeft" activeCell="C23" sqref="C23"/>
    </sheetView>
  </sheetViews>
  <sheetFormatPr defaultColWidth="8.58203125" defaultRowHeight="14.5"/>
  <cols>
    <col min="1" max="1" width="8.58203125" style="44"/>
    <col min="2" max="2" width="13.5" style="45" customWidth="1"/>
    <col min="3" max="3" width="17.5" style="45" bestFit="1" customWidth="1"/>
    <col min="4" max="4" width="9.33203125" style="45" bestFit="1" customWidth="1"/>
    <col min="5" max="5" width="8.58203125" style="45"/>
    <col min="6" max="6" width="14.33203125" style="45" bestFit="1" customWidth="1"/>
    <col min="7" max="8" width="8.58203125" style="44"/>
    <col min="9" max="9" width="10.58203125" style="44" bestFit="1" customWidth="1"/>
    <col min="10" max="10" width="14.08203125" style="44" customWidth="1"/>
    <col min="11" max="11" width="12.33203125" style="44" bestFit="1" customWidth="1"/>
    <col min="12" max="12" width="9.58203125" style="44" bestFit="1" customWidth="1"/>
    <col min="13" max="13" width="10.5" style="44" bestFit="1" customWidth="1"/>
    <col min="14" max="14" width="13.33203125" style="44" bestFit="1" customWidth="1"/>
    <col min="15" max="16" width="7.08203125" style="44" bestFit="1" customWidth="1"/>
    <col min="17" max="18" width="9.83203125" style="44" bestFit="1" customWidth="1"/>
    <col min="19" max="16384" width="8.58203125" style="44"/>
  </cols>
  <sheetData>
    <row r="1" spans="1:17">
      <c r="B1" s="78" t="s">
        <v>86</v>
      </c>
      <c r="C1" s="78" t="s">
        <v>87</v>
      </c>
      <c r="D1" s="78" t="s">
        <v>88</v>
      </c>
      <c r="E1" s="78" t="s">
        <v>89</v>
      </c>
      <c r="F1" s="78"/>
      <c r="G1" s="79" t="s">
        <v>90</v>
      </c>
      <c r="H1" s="79"/>
      <c r="I1" s="79" t="s">
        <v>91</v>
      </c>
      <c r="K1" s="3" t="s">
        <v>14</v>
      </c>
      <c r="L1" s="3" t="s">
        <v>48</v>
      </c>
      <c r="M1" s="3" t="s">
        <v>54</v>
      </c>
      <c r="N1" s="3" t="s">
        <v>55</v>
      </c>
      <c r="O1" s="3" t="s">
        <v>56</v>
      </c>
      <c r="P1" s="3" t="s">
        <v>57</v>
      </c>
      <c r="Q1" s="3" t="s">
        <v>58</v>
      </c>
    </row>
    <row r="3" spans="1:17">
      <c r="A3" s="44">
        <v>2010</v>
      </c>
      <c r="B3" s="40">
        <v>102608265.94153847</v>
      </c>
      <c r="C3" s="40">
        <f>'2a. Power Purchased Model '!Y31</f>
        <v>107690950.89954393</v>
      </c>
      <c r="D3" s="40">
        <f>C3-B3</f>
        <v>5082684.9580054581</v>
      </c>
      <c r="E3" s="46">
        <f>D3/B3</f>
        <v>4.9534848984791748E-2</v>
      </c>
      <c r="F3" s="46"/>
      <c r="G3" s="44">
        <f>1+(B3-I3)/I3</f>
        <v>1.064082952525476</v>
      </c>
      <c r="I3" s="47">
        <f>SUM(K3:Q3)</f>
        <v>96428822.299999997</v>
      </c>
      <c r="J3" s="47"/>
      <c r="K3" s="47">
        <v>25348494</v>
      </c>
      <c r="L3" s="47">
        <v>11387103</v>
      </c>
      <c r="M3" s="47">
        <v>20855253</v>
      </c>
      <c r="N3" s="47">
        <v>38077454.969999999</v>
      </c>
      <c r="O3" s="47">
        <v>9732</v>
      </c>
      <c r="P3" s="47">
        <v>31586.329999999994</v>
      </c>
      <c r="Q3" s="47">
        <v>719199</v>
      </c>
    </row>
    <row r="4" spans="1:17">
      <c r="A4" s="44">
        <v>2011</v>
      </c>
      <c r="B4" s="40">
        <v>105542004.78000002</v>
      </c>
      <c r="C4" s="40">
        <f>'2a. Power Purchased Model '!Y32</f>
        <v>111245565.89516975</v>
      </c>
      <c r="D4" s="40">
        <f t="shared" ref="D4:D12" si="0">C4-B4</f>
        <v>5703561.1151697338</v>
      </c>
      <c r="E4" s="46">
        <f t="shared" ref="E4:E12" si="1">D4/B4</f>
        <v>5.4040674393656639E-2</v>
      </c>
      <c r="F4" s="46"/>
      <c r="G4" s="44">
        <f t="shared" ref="G4:G12" si="2">1+(B4-I4)/I4</f>
        <v>1.0683208864550457</v>
      </c>
      <c r="I4" s="47">
        <f t="shared" ref="I4:I12" si="3">SUM(K4:Q4)</f>
        <v>98792419.129999995</v>
      </c>
      <c r="J4" s="47"/>
      <c r="K4" s="47">
        <v>25466302</v>
      </c>
      <c r="L4" s="47">
        <v>11698450.35</v>
      </c>
      <c r="M4" s="47">
        <v>21357589</v>
      </c>
      <c r="N4" s="47">
        <v>39521514.93</v>
      </c>
      <c r="O4" s="47">
        <v>7563</v>
      </c>
      <c r="P4" s="47">
        <v>27611.850000000006</v>
      </c>
      <c r="Q4" s="47">
        <v>713388</v>
      </c>
    </row>
    <row r="5" spans="1:17">
      <c r="A5" s="44">
        <v>2012</v>
      </c>
      <c r="B5" s="40">
        <v>108276715.14999999</v>
      </c>
      <c r="C5" s="40">
        <f>'2a. Power Purchased Model '!Y33</f>
        <v>114572458.6172827</v>
      </c>
      <c r="D5" s="40">
        <f t="shared" si="0"/>
        <v>6295743.4672827125</v>
      </c>
      <c r="E5" s="46">
        <f t="shared" si="1"/>
        <v>5.8144943338565187E-2</v>
      </c>
      <c r="F5" s="46"/>
      <c r="G5" s="44">
        <f t="shared" si="2"/>
        <v>1.0670870565130715</v>
      </c>
      <c r="I5" s="47">
        <f t="shared" si="3"/>
        <v>101469429.77999999</v>
      </c>
      <c r="J5" s="47"/>
      <c r="K5" s="47">
        <v>24774725.299999997</v>
      </c>
      <c r="L5" s="47">
        <v>11692349.939999999</v>
      </c>
      <c r="M5" s="47">
        <v>21917336.890000001</v>
      </c>
      <c r="N5" s="47">
        <v>42337528.850000001</v>
      </c>
      <c r="O5" s="47">
        <v>5733</v>
      </c>
      <c r="P5" s="47">
        <v>26092.800000000007</v>
      </c>
      <c r="Q5" s="47">
        <v>715663</v>
      </c>
    </row>
    <row r="6" spans="1:17">
      <c r="A6" s="44">
        <v>2013</v>
      </c>
      <c r="B6" s="40">
        <v>110093942.35000001</v>
      </c>
      <c r="C6" s="40">
        <f>'2a. Power Purchased Model '!Y34</f>
        <v>118169272.60977328</v>
      </c>
      <c r="D6" s="40">
        <f t="shared" si="0"/>
        <v>8075330.2597732693</v>
      </c>
      <c r="E6" s="46">
        <f t="shared" si="1"/>
        <v>7.3349451272268551E-2</v>
      </c>
      <c r="F6" s="46"/>
      <c r="G6" s="44">
        <f t="shared" si="2"/>
        <v>1.0555576243929512</v>
      </c>
      <c r="I6" s="47">
        <f t="shared" si="3"/>
        <v>104299319.90999998</v>
      </c>
      <c r="J6" s="47"/>
      <c r="K6" s="47">
        <v>25587070.509999998</v>
      </c>
      <c r="L6" s="47">
        <v>12087561.67</v>
      </c>
      <c r="M6" s="47">
        <v>16562845.530000001</v>
      </c>
      <c r="N6" s="47">
        <v>49310777.399999991</v>
      </c>
      <c r="O6" s="47">
        <v>5733</v>
      </c>
      <c r="P6" s="47">
        <v>26092.800000000007</v>
      </c>
      <c r="Q6" s="47">
        <v>719239</v>
      </c>
    </row>
    <row r="7" spans="1:17">
      <c r="A7" s="44">
        <v>2014</v>
      </c>
      <c r="B7" s="40">
        <v>112119464.67</v>
      </c>
      <c r="C7" s="40">
        <f>'2a. Power Purchased Model '!Y35</f>
        <v>119708739.27464177</v>
      </c>
      <c r="D7" s="40">
        <f t="shared" si="0"/>
        <v>7589274.6046417654</v>
      </c>
      <c r="E7" s="46">
        <f t="shared" si="1"/>
        <v>6.7689179813506917E-2</v>
      </c>
      <c r="F7" s="46"/>
      <c r="G7" s="44">
        <f t="shared" si="2"/>
        <v>1.0648965245577888</v>
      </c>
      <c r="I7" s="47">
        <f t="shared" si="3"/>
        <v>105286722.30999999</v>
      </c>
      <c r="J7" s="47"/>
      <c r="K7" s="47">
        <v>25720643.669999994</v>
      </c>
      <c r="L7" s="47">
        <v>11853212.560000001</v>
      </c>
      <c r="M7" s="47">
        <v>15962528.779999999</v>
      </c>
      <c r="N7" s="47">
        <v>50998403.280000001</v>
      </c>
      <c r="O7" s="47">
        <v>5733</v>
      </c>
      <c r="P7" s="47">
        <v>25409.019999999997</v>
      </c>
      <c r="Q7" s="47">
        <v>720792</v>
      </c>
    </row>
    <row r="8" spans="1:17">
      <c r="A8" s="44">
        <v>2015</v>
      </c>
      <c r="B8" s="40">
        <v>112172940.44</v>
      </c>
      <c r="C8" s="40">
        <f>'2a. Power Purchased Model '!Y36</f>
        <v>120072335.24984401</v>
      </c>
      <c r="D8" s="40">
        <f t="shared" si="0"/>
        <v>7899394.809844017</v>
      </c>
      <c r="E8" s="46">
        <f t="shared" si="1"/>
        <v>7.0421572073073285E-2</v>
      </c>
      <c r="F8" s="46"/>
      <c r="G8" s="44">
        <f t="shared" si="2"/>
        <v>1.0646968172467803</v>
      </c>
      <c r="I8" s="47">
        <f t="shared" si="3"/>
        <v>105356697.44</v>
      </c>
      <c r="J8" s="47"/>
      <c r="K8" s="47">
        <v>24960131.039999999</v>
      </c>
      <c r="L8" s="47">
        <v>12033955.310000002</v>
      </c>
      <c r="M8" s="47">
        <v>20081441.440000001</v>
      </c>
      <c r="N8" s="47">
        <v>47530354.799999997</v>
      </c>
      <c r="O8" s="47">
        <v>5184</v>
      </c>
      <c r="P8" s="47">
        <v>24838.850000000002</v>
      </c>
      <c r="Q8" s="47">
        <v>720792</v>
      </c>
    </row>
    <row r="9" spans="1:17">
      <c r="A9" s="44">
        <v>2016</v>
      </c>
      <c r="B9" s="40">
        <v>109107155.55</v>
      </c>
      <c r="C9" s="40">
        <f>'2a. Power Purchased Model '!Y37</f>
        <v>117708668.33534871</v>
      </c>
      <c r="D9" s="40">
        <f t="shared" si="0"/>
        <v>8601512.7853487134</v>
      </c>
      <c r="E9" s="46">
        <f t="shared" si="1"/>
        <v>7.8835459892517681E-2</v>
      </c>
      <c r="F9" s="46"/>
      <c r="G9" s="44">
        <f t="shared" si="2"/>
        <v>1.0630729689821459</v>
      </c>
      <c r="I9" s="47">
        <f t="shared" si="3"/>
        <v>102633740.8</v>
      </c>
      <c r="J9" s="47"/>
      <c r="K9" s="47">
        <v>24523575.810000002</v>
      </c>
      <c r="L9" s="47">
        <v>11967605.530000001</v>
      </c>
      <c r="M9" s="47">
        <v>19893743.399999999</v>
      </c>
      <c r="N9" s="47">
        <v>45496516.099999994</v>
      </c>
      <c r="O9" s="47">
        <v>6816</v>
      </c>
      <c r="P9" s="47">
        <v>22056.959999999995</v>
      </c>
      <c r="Q9" s="47">
        <v>723427</v>
      </c>
    </row>
    <row r="10" spans="1:17">
      <c r="A10" s="44">
        <v>2017</v>
      </c>
      <c r="B10" s="40">
        <v>107119020.61</v>
      </c>
      <c r="C10" s="40">
        <f>'2a. Power Purchased Model '!Y38</f>
        <v>116678682.80865933</v>
      </c>
      <c r="D10" s="40">
        <f t="shared" si="0"/>
        <v>9559662.1986593306</v>
      </c>
      <c r="E10" s="46">
        <f t="shared" si="1"/>
        <v>8.924336821062101E-2</v>
      </c>
      <c r="F10" s="46"/>
      <c r="G10" s="44">
        <f t="shared" si="2"/>
        <v>1.0629262209947836</v>
      </c>
      <c r="I10" s="47">
        <f t="shared" si="3"/>
        <v>100777474.95000002</v>
      </c>
      <c r="J10" s="47"/>
      <c r="K10" s="47">
        <v>23863110.25</v>
      </c>
      <c r="L10" s="47">
        <v>11410391.09</v>
      </c>
      <c r="M10" s="47">
        <v>19029613.010000002</v>
      </c>
      <c r="N10" s="47">
        <v>45750527.200000003</v>
      </c>
      <c r="O10" s="47">
        <v>6801</v>
      </c>
      <c r="P10" s="47">
        <v>19673.28</v>
      </c>
      <c r="Q10" s="47">
        <v>697359.11999999988</v>
      </c>
    </row>
    <row r="11" spans="1:17">
      <c r="A11" s="44">
        <v>2018</v>
      </c>
      <c r="B11" s="40">
        <v>106664335.26000001</v>
      </c>
      <c r="C11" s="40">
        <f>'2a. Power Purchased Model '!Y39</f>
        <v>116518686.27370985</v>
      </c>
      <c r="D11" s="40">
        <f t="shared" si="0"/>
        <v>9854351.0137098432</v>
      </c>
      <c r="E11" s="46">
        <f t="shared" si="1"/>
        <v>9.2386560040798427E-2</v>
      </c>
      <c r="F11" s="46"/>
      <c r="G11" s="44">
        <f t="shared" si="2"/>
        <v>1.0680861334959446</v>
      </c>
      <c r="I11" s="47">
        <f t="shared" si="3"/>
        <v>99864919.050000012</v>
      </c>
      <c r="J11" s="47"/>
      <c r="K11" s="47">
        <v>25345904.98</v>
      </c>
      <c r="L11" s="47">
        <v>11582140.129999999</v>
      </c>
      <c r="M11" s="47">
        <v>18305428.530000001</v>
      </c>
      <c r="N11" s="47">
        <v>43913955.700000003</v>
      </c>
      <c r="O11" s="47">
        <v>6801</v>
      </c>
      <c r="P11" s="47">
        <v>19673.28</v>
      </c>
      <c r="Q11" s="47">
        <v>691015.42999999993</v>
      </c>
    </row>
    <row r="12" spans="1:17" s="48" customFormat="1">
      <c r="A12" s="48">
        <v>2019</v>
      </c>
      <c r="B12" s="49">
        <v>104914411.96000001</v>
      </c>
      <c r="C12" s="49">
        <f>'2a. Power Purchased Model '!Y40</f>
        <v>114846820.1624752</v>
      </c>
      <c r="D12" s="49">
        <f t="shared" si="0"/>
        <v>9932408.2024751902</v>
      </c>
      <c r="E12" s="50">
        <f t="shared" si="1"/>
        <v>9.4671532889704896E-2</v>
      </c>
      <c r="F12" s="50"/>
      <c r="G12" s="48">
        <f t="shared" si="2"/>
        <v>1.0643178066267027</v>
      </c>
      <c r="I12" s="51">
        <f t="shared" si="3"/>
        <v>98574327.429999992</v>
      </c>
      <c r="J12" s="51"/>
      <c r="K12" s="51">
        <v>25253896.18</v>
      </c>
      <c r="L12" s="51">
        <v>11138172.100000001</v>
      </c>
      <c r="M12" s="51">
        <v>18739879.539999999</v>
      </c>
      <c r="N12" s="51">
        <v>42766148</v>
      </c>
      <c r="O12" s="51">
        <v>6288</v>
      </c>
      <c r="P12" s="51">
        <v>19673.28</v>
      </c>
      <c r="Q12" s="51">
        <v>650270.32999999996</v>
      </c>
    </row>
    <row r="13" spans="1:17">
      <c r="A13" s="44">
        <v>2020</v>
      </c>
      <c r="C13" s="385">
        <f>'2a. Power Purchased Model '!Y46+'1. Load Forecast Summary'!M7+'1. Load Forecast Summary'!M8</f>
        <v>110071313.42575988</v>
      </c>
      <c r="D13" s="40"/>
      <c r="F13" s="44"/>
      <c r="I13" s="387">
        <f>C13/$G$14</f>
        <v>103420885.19841951</v>
      </c>
      <c r="Q13" s="47">
        <f>'5d. Streetlights LED Conv'!B17</f>
        <v>229832.84868997012</v>
      </c>
    </row>
    <row r="14" spans="1:17">
      <c r="A14" s="44">
        <v>2021</v>
      </c>
      <c r="C14" s="385">
        <f>'2a. Power Purchased Model '!Y47+'1. Load Forecast Summary'!N7+'1. Load Forecast Summary'!N8</f>
        <v>110803218.12059394</v>
      </c>
      <c r="D14" s="40"/>
      <c r="F14" s="45" t="s">
        <v>92</v>
      </c>
      <c r="G14" s="386">
        <f>AVERAGE(G3:G12)</f>
        <v>1.0643044991790691</v>
      </c>
      <c r="I14" s="387">
        <f>C14/$G$14</f>
        <v>104108568.74706428</v>
      </c>
      <c r="Q14" s="47">
        <f>'5d. Streetlights LED Conv'!B17</f>
        <v>229832.84868997012</v>
      </c>
    </row>
    <row r="16" spans="1:17">
      <c r="F16" s="247" t="s">
        <v>194</v>
      </c>
      <c r="G16" s="44">
        <v>1.0656000000000001</v>
      </c>
    </row>
    <row r="17" spans="10:18">
      <c r="J17" s="80" t="s">
        <v>99</v>
      </c>
    </row>
    <row r="18" spans="10:18">
      <c r="J18" s="273"/>
      <c r="K18" s="256" t="s">
        <v>14</v>
      </c>
      <c r="L18" s="256" t="s">
        <v>48</v>
      </c>
      <c r="M18" s="256" t="s">
        <v>54</v>
      </c>
      <c r="N18" s="256" t="s">
        <v>55</v>
      </c>
      <c r="O18" s="256" t="s">
        <v>56</v>
      </c>
      <c r="P18" s="256" t="s">
        <v>57</v>
      </c>
      <c r="Q18" s="256" t="s">
        <v>58</v>
      </c>
    </row>
    <row r="19" spans="10:18">
      <c r="J19" s="344">
        <v>2010</v>
      </c>
      <c r="K19" s="342">
        <f>K3/'3b. Rate Class Customer Model'!B3</f>
        <v>8249.001437288136</v>
      </c>
      <c r="L19" s="342">
        <f>L3/'3b. Rate Class Customer Model'!C3</f>
        <v>23772.657620041755</v>
      </c>
      <c r="M19" s="342">
        <f>M3/'3b. Rate Class Customer Model'!D3</f>
        <v>525762.68067226897</v>
      </c>
      <c r="N19" s="342">
        <f>N3/'3b. Rate Class Customer Model'!E3</f>
        <v>7615490.9939999999</v>
      </c>
      <c r="O19" s="342">
        <f>O3/'3b. Rate Class Customer Model'!F3</f>
        <v>8341.7142857142844</v>
      </c>
      <c r="P19" s="342">
        <f>P3/'3b. Rate Class Customer Model'!G3</f>
        <v>1128.0832142857141</v>
      </c>
      <c r="Q19" s="342">
        <f>Q3/'3b. Rate Class Customer Model'!H3</f>
        <v>799.11</v>
      </c>
    </row>
    <row r="20" spans="10:18">
      <c r="J20" s="344">
        <v>2011</v>
      </c>
      <c r="K20" s="342">
        <f>K4/'3b. Rate Class Customer Model'!B4</f>
        <v>8206.3327157012809</v>
      </c>
      <c r="L20" s="342">
        <f>L4/'3b. Rate Class Customer Model'!C4</f>
        <v>24486.552276295133</v>
      </c>
      <c r="M20" s="342">
        <f>M4/'3b. Rate Class Customer Model'!D4</f>
        <v>557154.49565217388</v>
      </c>
      <c r="N20" s="342">
        <f>N4/'3b. Rate Class Customer Model'!E4</f>
        <v>7904302.9859999996</v>
      </c>
      <c r="O20" s="342">
        <f>O4/'3b. Rate Class Customer Model'!F4</f>
        <v>4776.6315789473683</v>
      </c>
      <c r="P20" s="342">
        <f>P4/'3b. Rate Class Customer Model'!G4</f>
        <v>986.13750000000016</v>
      </c>
      <c r="Q20" s="342">
        <f>Q4/'3b. Rate Class Customer Model'!H4</f>
        <v>793.387951807229</v>
      </c>
    </row>
    <row r="21" spans="10:18">
      <c r="J21" s="344">
        <v>2012</v>
      </c>
      <c r="K21" s="342">
        <f>K5/'3b. Rate Class Customer Model'!B5</f>
        <v>7924.5309627892084</v>
      </c>
      <c r="L21" s="342">
        <f>L5/'3b. Rate Class Customer Model'!C5</f>
        <v>24473.783233908947</v>
      </c>
      <c r="M21" s="342">
        <f>M5/'3b. Rate Class Customer Model'!D5</f>
        <v>581876.20061946905</v>
      </c>
      <c r="N21" s="342">
        <f>N5/'3b. Rate Class Customer Model'!E5</f>
        <v>8467505.7699999996</v>
      </c>
      <c r="O21" s="342">
        <f>O5/'3b. Rate Class Customer Model'!F5</f>
        <v>4299.75</v>
      </c>
      <c r="P21" s="342">
        <f>P5/'3b. Rate Class Customer Model'!G5</f>
        <v>931.88571428571447</v>
      </c>
      <c r="Q21" s="342">
        <f>Q5/'3b. Rate Class Customer Model'!H5</f>
        <v>796.95211581291755</v>
      </c>
    </row>
    <row r="22" spans="10:18">
      <c r="J22" s="344">
        <v>2013</v>
      </c>
      <c r="K22" s="342">
        <f>K6/'3b. Rate Class Customer Model'!B6</f>
        <v>8095.8932162632491</v>
      </c>
      <c r="L22" s="342">
        <f>L6/'3b. Rate Class Customer Model'!C6</f>
        <v>25487.742055877701</v>
      </c>
      <c r="M22" s="342">
        <f>M6/'3b. Rate Class Customer Model'!D6</f>
        <v>431136.97691973974</v>
      </c>
      <c r="N22" s="342">
        <f>N6/'3b. Rate Class Customer Model'!E6</f>
        <v>8453276.1257142853</v>
      </c>
      <c r="O22" s="342">
        <f>O6/'3b. Rate Class Customer Model'!F6</f>
        <v>3620.8421052631579</v>
      </c>
      <c r="P22" s="342">
        <f>P6/'3b. Rate Class Customer Model'!G6</f>
        <v>931.88571428571447</v>
      </c>
      <c r="Q22" s="342">
        <f>Q6/'3b. Rate Class Customer Model'!H6</f>
        <v>799.59866592551418</v>
      </c>
    </row>
    <row r="23" spans="10:18">
      <c r="J23" s="344">
        <v>2014</v>
      </c>
      <c r="K23" s="342">
        <f>K7/'3b. Rate Class Customer Model'!B7</f>
        <v>8061.844692177091</v>
      </c>
      <c r="L23" s="342">
        <f>L7/'3b. Rate Class Customer Model'!C7</f>
        <v>25055.231763255244</v>
      </c>
      <c r="M23" s="342">
        <f>M7/'3b. Rate Class Customer Model'!D7</f>
        <v>416413.7942608695</v>
      </c>
      <c r="N23" s="342">
        <f>N7/'3b. Rate Class Customer Model'!E7</f>
        <v>8742583.4194285721</v>
      </c>
      <c r="O23" s="342">
        <f>O7/'3b. Rate Class Customer Model'!F7</f>
        <v>4914</v>
      </c>
      <c r="P23" s="342">
        <f>P7/'3b. Rate Class Customer Model'!G7</f>
        <v>910.1738507462685</v>
      </c>
      <c r="Q23" s="342">
        <f>Q7/'3b. Rate Class Customer Model'!H7</f>
        <v>796.45524861878448</v>
      </c>
    </row>
    <row r="24" spans="10:18">
      <c r="J24" s="344">
        <v>2015</v>
      </c>
      <c r="K24" s="342">
        <f>K8/'3b. Rate Class Customer Model'!B8</f>
        <v>7771.1016910982544</v>
      </c>
      <c r="L24" s="342">
        <f>L8/'3b. Rate Class Customer Model'!C8</f>
        <v>25365.79373265414</v>
      </c>
      <c r="M24" s="342">
        <f>M8/'3b. Rate Class Customer Model'!D8</f>
        <v>561718.64167832176</v>
      </c>
      <c r="N24" s="342">
        <f>N8/'3b. Rate Class Customer Model'!E8</f>
        <v>9506070.959999999</v>
      </c>
      <c r="O24" s="342">
        <f>O8/'3b. Rate Class Customer Model'!F8</f>
        <v>5184</v>
      </c>
      <c r="P24" s="342">
        <f>P8/'3b. Rate Class Customer Model'!G8</f>
        <v>937.31509433962276</v>
      </c>
      <c r="Q24" s="342">
        <f>Q8/'3b. Rate Class Customer Model'!H8</f>
        <v>796.45524861878448</v>
      </c>
    </row>
    <row r="25" spans="10:18">
      <c r="J25" s="344">
        <v>2016</v>
      </c>
      <c r="K25" s="342">
        <f>K9/'3b. Rate Class Customer Model'!B9</f>
        <v>7617.5944740111827</v>
      </c>
      <c r="L25" s="342">
        <f>L9/'3b. Rate Class Customer Model'!C9</f>
        <v>25499.159509943187</v>
      </c>
      <c r="M25" s="342">
        <f>M9/'3b. Rate Class Customer Model'!D9</f>
        <v>559074.75597189693</v>
      </c>
      <c r="N25" s="342">
        <f>N9/'3b. Rate Class Customer Model'!E9</f>
        <v>9099303.2199999988</v>
      </c>
      <c r="O25" s="342">
        <f>O9/'3b. Rate Class Customer Model'!F9</f>
        <v>4304.8421052631584</v>
      </c>
      <c r="P25" s="342">
        <f>P9/'3b. Rate Class Customer Model'!G9</f>
        <v>919.03999999999985</v>
      </c>
      <c r="Q25" s="342">
        <f>Q9/'3b. Rate Class Customer Model'!H9</f>
        <v>797.53091410197521</v>
      </c>
    </row>
    <row r="26" spans="10:18">
      <c r="J26" s="344">
        <v>2017</v>
      </c>
      <c r="K26" s="342">
        <f>K10/'3b. Rate Class Customer Model'!B10</f>
        <v>7352.2985262401153</v>
      </c>
      <c r="L26" s="342">
        <f>L10/'3b. Rate Class Customer Model'!C10</f>
        <v>24136.205372818615</v>
      </c>
      <c r="M26" s="342">
        <f>M10/'3b. Rate Class Customer Model'!D10</f>
        <v>547614.76287769794</v>
      </c>
      <c r="N26" s="342">
        <f>N10/'3b. Rate Class Customer Model'!E10</f>
        <v>9150105.4400000013</v>
      </c>
      <c r="O26" s="342">
        <f>O10/'3b. Rate Class Customer Model'!F10</f>
        <v>3400.5</v>
      </c>
      <c r="P26" s="342">
        <f>P10/'3b. Rate Class Customer Model'!G10</f>
        <v>852.27205776173287</v>
      </c>
      <c r="Q26" s="342">
        <f>Q10/'3b. Rate Class Customer Model'!H10</f>
        <v>767.73481100917411</v>
      </c>
    </row>
    <row r="27" spans="10:18">
      <c r="J27" s="344">
        <v>2018</v>
      </c>
      <c r="K27" s="342">
        <f>K11/'3b. Rate Class Customer Model'!B11</f>
        <v>7730.749047098594</v>
      </c>
      <c r="L27" s="342">
        <f>L11/'3b. Rate Class Customer Model'!C11</f>
        <v>24634.115838355188</v>
      </c>
      <c r="M27" s="342">
        <f>M11/'3b. Rate Class Customer Model'!D11</f>
        <v>538394.95676470594</v>
      </c>
      <c r="N27" s="342">
        <f>N11/'3b. Rate Class Customer Model'!E11</f>
        <v>8782791.1400000006</v>
      </c>
      <c r="O27" s="342">
        <f>O11/'3b. Rate Class Customer Model'!F11</f>
        <v>2914.7142857142853</v>
      </c>
      <c r="P27" s="342">
        <f>P11/'3b. Rate Class Customer Model'!G11</f>
        <v>855.3599999999999</v>
      </c>
      <c r="Q27" s="342">
        <f>Q11/'3b. Rate Class Customer Model'!H11</f>
        <v>761.03020925110127</v>
      </c>
    </row>
    <row r="28" spans="10:18">
      <c r="J28" s="345">
        <v>2019</v>
      </c>
      <c r="K28" s="343">
        <f>K12/'3b. Rate Class Customer Model'!B12</f>
        <v>7648.2536446003587</v>
      </c>
      <c r="L28" s="343">
        <f>L12/'3b. Rate Class Customer Model'!C12</f>
        <v>23698.238510638301</v>
      </c>
      <c r="M28" s="343">
        <f>M12/'3b. Rate Class Customer Model'!D12</f>
        <v>535425.12971428572</v>
      </c>
      <c r="N28" s="343">
        <f>N12/'3b. Rate Class Customer Model'!E12</f>
        <v>8553229.5999999996</v>
      </c>
      <c r="O28" s="343">
        <f>O12/'3b. Rate Class Customer Model'!F12</f>
        <v>2694.8571428571427</v>
      </c>
      <c r="P28" s="343">
        <f>P12/'3b. Rate Class Customer Model'!G12</f>
        <v>855.3599999999999</v>
      </c>
      <c r="Q28" s="343">
        <f>Q12/'3b. Rate Class Customer Model'!H12</f>
        <v>716.22248370812292</v>
      </c>
    </row>
    <row r="29" spans="10:18">
      <c r="J29" s="346" t="s">
        <v>214</v>
      </c>
      <c r="K29" s="342">
        <f>K28</f>
        <v>7648.2536446003587</v>
      </c>
      <c r="L29" s="342">
        <f t="shared" ref="L29:P29" si="4">L28</f>
        <v>23698.238510638301</v>
      </c>
      <c r="M29" s="342">
        <f t="shared" si="4"/>
        <v>535425.12971428572</v>
      </c>
      <c r="N29" s="342">
        <f t="shared" si="4"/>
        <v>8553229.5999999996</v>
      </c>
      <c r="O29" s="342">
        <f t="shared" si="4"/>
        <v>2694.8571428571427</v>
      </c>
      <c r="P29" s="342">
        <f t="shared" si="4"/>
        <v>855.3599999999999</v>
      </c>
      <c r="Q29" s="347">
        <f>Q13/'3b. Rate Class Customer Model'!H13</f>
        <v>248.73684923156941</v>
      </c>
      <c r="R29" s="220" t="s">
        <v>181</v>
      </c>
    </row>
    <row r="30" spans="10:18">
      <c r="J30" s="346" t="s">
        <v>215</v>
      </c>
      <c r="K30" s="342">
        <f>K28</f>
        <v>7648.2536446003587</v>
      </c>
      <c r="L30" s="342">
        <f t="shared" ref="L30:P30" si="5">L28</f>
        <v>23698.238510638301</v>
      </c>
      <c r="M30" s="342">
        <f t="shared" si="5"/>
        <v>535425.12971428572</v>
      </c>
      <c r="N30" s="342">
        <f t="shared" si="5"/>
        <v>8553229.5999999996</v>
      </c>
      <c r="O30" s="342">
        <f t="shared" si="5"/>
        <v>2694.8571428571427</v>
      </c>
      <c r="P30" s="342">
        <f t="shared" si="5"/>
        <v>855.3599999999999</v>
      </c>
      <c r="Q30" s="347">
        <f>Q14/'3b. Rate Class Customer Model'!H14</f>
        <v>248.73684923156941</v>
      </c>
      <c r="R30" s="220" t="s">
        <v>181</v>
      </c>
    </row>
    <row r="32" spans="10:18">
      <c r="J32" s="80" t="s">
        <v>100</v>
      </c>
    </row>
    <row r="33" spans="1:18">
      <c r="J33" s="44">
        <v>2011</v>
      </c>
      <c r="K33" s="82">
        <f>K20/K19</f>
        <v>0.99482740766731126</v>
      </c>
      <c r="L33" s="82">
        <f t="shared" ref="K33:Q40" si="6">L20/L19</f>
        <v>1.0300300735266352</v>
      </c>
      <c r="M33" s="82">
        <f t="shared" si="6"/>
        <v>1.0597071951546002</v>
      </c>
      <c r="N33" s="82">
        <f t="shared" si="6"/>
        <v>1.0379242772695214</v>
      </c>
      <c r="O33" s="82">
        <f t="shared" si="6"/>
        <v>0.57261989746252195</v>
      </c>
      <c r="P33" s="82">
        <f t="shared" si="6"/>
        <v>0.87417088341697213</v>
      </c>
      <c r="Q33" s="82">
        <f t="shared" si="6"/>
        <v>0.99283947367349801</v>
      </c>
    </row>
    <row r="34" spans="1:18">
      <c r="J34" s="44">
        <v>2012</v>
      </c>
      <c r="K34" s="82">
        <f t="shared" si="6"/>
        <v>0.96566045240002307</v>
      </c>
      <c r="L34" s="82">
        <f t="shared" si="6"/>
        <v>0.99947852836764828</v>
      </c>
      <c r="M34" s="82">
        <f t="shared" si="6"/>
        <v>1.0443713640654686</v>
      </c>
      <c r="N34" s="82">
        <f t="shared" si="6"/>
        <v>1.0712526816086805</v>
      </c>
      <c r="O34" s="82">
        <f t="shared" si="6"/>
        <v>0.90016362554541851</v>
      </c>
      <c r="P34" s="82">
        <f t="shared" si="6"/>
        <v>0.94498557684472428</v>
      </c>
      <c r="Q34" s="82">
        <f t="shared" si="6"/>
        <v>1.0044923344217289</v>
      </c>
    </row>
    <row r="35" spans="1:18">
      <c r="J35" s="44">
        <v>2013</v>
      </c>
      <c r="K35" s="82">
        <f t="shared" si="6"/>
        <v>1.0216242771059507</v>
      </c>
      <c r="L35" s="82">
        <f t="shared" si="6"/>
        <v>1.0414304078890382</v>
      </c>
      <c r="M35" s="82">
        <f t="shared" si="6"/>
        <v>0.74094279240283178</v>
      </c>
      <c r="N35" s="82">
        <f t="shared" si="6"/>
        <v>0.99831949990088831</v>
      </c>
      <c r="O35" s="82">
        <f t="shared" si="6"/>
        <v>0.84210526315789469</v>
      </c>
      <c r="P35" s="82">
        <f t="shared" si="6"/>
        <v>1</v>
      </c>
      <c r="Q35" s="82">
        <f t="shared" si="6"/>
        <v>1.0033208395587194</v>
      </c>
    </row>
    <row r="36" spans="1:18">
      <c r="J36" s="44">
        <v>2014</v>
      </c>
      <c r="K36" s="82">
        <f t="shared" si="6"/>
        <v>0.99579434619792662</v>
      </c>
      <c r="L36" s="82">
        <f t="shared" si="6"/>
        <v>0.98303065482716168</v>
      </c>
      <c r="M36" s="82">
        <f t="shared" si="6"/>
        <v>0.96585033655878905</v>
      </c>
      <c r="N36" s="82">
        <f t="shared" si="6"/>
        <v>1.0342242805525108</v>
      </c>
      <c r="O36" s="82">
        <f t="shared" si="6"/>
        <v>1.3571428571428572</v>
      </c>
      <c r="P36" s="82">
        <f t="shared" si="6"/>
        <v>0.97670115207626296</v>
      </c>
      <c r="Q36" s="82">
        <f t="shared" si="6"/>
        <v>0.99606875618896729</v>
      </c>
    </row>
    <row r="37" spans="1:18">
      <c r="J37" s="44">
        <v>2015</v>
      </c>
      <c r="K37" s="82">
        <f t="shared" si="6"/>
        <v>0.96393592134552497</v>
      </c>
      <c r="L37" s="82">
        <f t="shared" si="6"/>
        <v>1.0123950946586073</v>
      </c>
      <c r="M37" s="82">
        <f t="shared" si="6"/>
        <v>1.3489434053820599</v>
      </c>
      <c r="N37" s="82">
        <f t="shared" si="6"/>
        <v>1.0873297404145708</v>
      </c>
      <c r="O37" s="82">
        <f t="shared" si="6"/>
        <v>1.054945054945055</v>
      </c>
      <c r="P37" s="82">
        <f t="shared" si="6"/>
        <v>1.0298198454845748</v>
      </c>
      <c r="Q37" s="82">
        <f t="shared" si="6"/>
        <v>1</v>
      </c>
    </row>
    <row r="38" spans="1:18">
      <c r="J38" s="44">
        <v>2016</v>
      </c>
      <c r="K38" s="82">
        <f t="shared" si="6"/>
        <v>0.98024640222339221</v>
      </c>
      <c r="L38" s="82">
        <f t="shared" si="6"/>
        <v>1.0052577017180961</v>
      </c>
      <c r="M38" s="82">
        <f t="shared" si="6"/>
        <v>0.99529322064419057</v>
      </c>
      <c r="N38" s="82">
        <f t="shared" si="6"/>
        <v>0.95720968823906194</v>
      </c>
      <c r="O38" s="82">
        <f t="shared" si="6"/>
        <v>0.83040935672514626</v>
      </c>
      <c r="P38" s="82">
        <f t="shared" si="6"/>
        <v>0.9805027205365785</v>
      </c>
      <c r="Q38" s="82">
        <f t="shared" si="6"/>
        <v>1.0013505661304338</v>
      </c>
    </row>
    <row r="39" spans="1:18">
      <c r="J39" s="44">
        <v>2017</v>
      </c>
      <c r="K39" s="82">
        <f t="shared" si="6"/>
        <v>0.96517326451596064</v>
      </c>
      <c r="L39" s="82">
        <f t="shared" si="6"/>
        <v>0.94654905638779585</v>
      </c>
      <c r="M39" s="82">
        <f t="shared" si="6"/>
        <v>0.97950185914891308</v>
      </c>
      <c r="N39" s="82">
        <f t="shared" si="6"/>
        <v>1.0055830890312942</v>
      </c>
      <c r="O39" s="82">
        <f t="shared" si="6"/>
        <v>0.78992444248826277</v>
      </c>
      <c r="P39" s="82">
        <f t="shared" si="6"/>
        <v>0.9273503414016071</v>
      </c>
      <c r="Q39" s="82">
        <f t="shared" si="6"/>
        <v>0.96263956347528956</v>
      </c>
    </row>
    <row r="40" spans="1:18">
      <c r="J40" s="44">
        <v>2018</v>
      </c>
      <c r="K40" s="82">
        <f t="shared" si="6"/>
        <v>1.0514737696664249</v>
      </c>
      <c r="L40" s="82">
        <f t="shared" si="6"/>
        <v>1.02062919410262</v>
      </c>
      <c r="M40" s="82">
        <f t="shared" si="6"/>
        <v>0.98316370058297509</v>
      </c>
      <c r="N40" s="82">
        <f t="shared" si="6"/>
        <v>0.95985682324552524</v>
      </c>
      <c r="O40" s="82">
        <f t="shared" si="6"/>
        <v>0.85714285714285698</v>
      </c>
      <c r="P40" s="82">
        <f t="shared" si="6"/>
        <v>1.0036231884057969</v>
      </c>
      <c r="Q40" s="82">
        <f t="shared" si="6"/>
        <v>0.99126703431714946</v>
      </c>
    </row>
    <row r="41" spans="1:18">
      <c r="J41" s="48">
        <v>2019</v>
      </c>
      <c r="K41" s="82">
        <f>K28/K27</f>
        <v>0.98932892505038739</v>
      </c>
      <c r="L41" s="82">
        <f t="shared" ref="L41:Q41" si="7">L28/L27</f>
        <v>0.96200889311969007</v>
      </c>
      <c r="M41" s="82">
        <f t="shared" si="7"/>
        <v>0.9944839248341657</v>
      </c>
      <c r="N41" s="82">
        <f t="shared" si="7"/>
        <v>0.973862347818509</v>
      </c>
      <c r="O41" s="82">
        <f t="shared" si="7"/>
        <v>0.9245699161887958</v>
      </c>
      <c r="P41" s="82">
        <f t="shared" si="7"/>
        <v>1</v>
      </c>
      <c r="Q41" s="82">
        <f t="shared" si="7"/>
        <v>0.94112227740989174</v>
      </c>
    </row>
    <row r="43" spans="1:18">
      <c r="J43" s="85" t="s">
        <v>102</v>
      </c>
      <c r="K43" s="86">
        <f>GEOMEAN(K33:K41)</f>
        <v>0.99163354907285395</v>
      </c>
      <c r="L43" s="86">
        <f t="shared" ref="L43:Q43" si="8">GEOMEAN(L33:L41)</f>
        <v>0.99965168736069399</v>
      </c>
      <c r="M43" s="86">
        <f t="shared" si="8"/>
        <v>1.0020255077776705</v>
      </c>
      <c r="N43" s="86">
        <f t="shared" si="8"/>
        <v>1.0129863193852142</v>
      </c>
      <c r="O43" s="86">
        <f t="shared" si="8"/>
        <v>0.88201425484472384</v>
      </c>
      <c r="P43" s="86">
        <f t="shared" si="8"/>
        <v>0.96971767403484033</v>
      </c>
      <c r="Q43" s="86">
        <f t="shared" si="8"/>
        <v>0.98790619636252741</v>
      </c>
    </row>
    <row r="44" spans="1:18">
      <c r="J44" s="84"/>
    </row>
    <row r="45" spans="1:18">
      <c r="J45" s="84" t="s">
        <v>101</v>
      </c>
      <c r="K45" s="83">
        <f>GEOMEAN(K37:K41)</f>
        <v>0.9895222658598295</v>
      </c>
      <c r="L45" s="83">
        <f t="shared" ref="L45:Q45" si="9">GEOMEAN(L37:L41)</f>
        <v>0.98892539249236722</v>
      </c>
      <c r="M45" s="83">
        <f t="shared" si="9"/>
        <v>1.0515616243108423</v>
      </c>
      <c r="N45" s="83">
        <f t="shared" si="9"/>
        <v>0.9956302175809062</v>
      </c>
      <c r="O45" s="83">
        <f t="shared" si="9"/>
        <v>0.88678863605726443</v>
      </c>
      <c r="P45" s="83">
        <f t="shared" si="9"/>
        <v>0.98765420383270897</v>
      </c>
      <c r="Q45" s="83">
        <f t="shared" si="9"/>
        <v>0.97898787802892451</v>
      </c>
    </row>
    <row r="47" spans="1:18">
      <c r="A47" s="14" t="s">
        <v>103</v>
      </c>
      <c r="I47" s="89" t="s">
        <v>105</v>
      </c>
    </row>
    <row r="48" spans="1:18">
      <c r="A48" s="70">
        <v>2020</v>
      </c>
      <c r="I48" s="90">
        <f>SUM(K48:Q48)</f>
        <v>98074119.049289763</v>
      </c>
      <c r="K48" s="81">
        <f>K29*'3b. Rate Class Customer Model'!B13</f>
        <v>25456386.737571422</v>
      </c>
      <c r="L48" s="81">
        <f>L29*'3b. Rate Class Customer Model'!C13</f>
        <v>11114722.623010218</v>
      </c>
      <c r="M48" s="81">
        <f>M29*'3b. Rate Class Customer Model'!D13</f>
        <v>18481067.560018148</v>
      </c>
      <c r="N48" s="81">
        <f>N29*'3b. Rate Class Customer Model'!E13</f>
        <v>42766148</v>
      </c>
      <c r="O48" s="81">
        <f>O29*'3b. Rate Class Customer Model'!F13</f>
        <v>6288</v>
      </c>
      <c r="P48" s="81">
        <f>P29*'3b. Rate Class Customer Model'!G13</f>
        <v>19673.28</v>
      </c>
      <c r="Q48" s="81">
        <f>Q29*'3b. Rate Class Customer Model'!H13</f>
        <v>229832.84868997012</v>
      </c>
      <c r="R48" s="87"/>
    </row>
    <row r="49" spans="1:19">
      <c r="A49" s="70">
        <v>2021</v>
      </c>
      <c r="H49" s="84"/>
      <c r="I49" s="90">
        <f>SUM(K49:Q49)</f>
        <v>97999595.516749665</v>
      </c>
      <c r="K49" s="81">
        <f>K30*'3b. Rate Class Customer Model'!B14</f>
        <v>25660500.903065097</v>
      </c>
      <c r="L49" s="81">
        <f>L30*'3b. Rate Class Customer Model'!C14</f>
        <v>11091322.514800712</v>
      </c>
      <c r="M49" s="81">
        <f>M30*'3b. Rate Class Customer Model'!D14</f>
        <v>18225829.970193878</v>
      </c>
      <c r="N49" s="81">
        <f>N30*'3b. Rate Class Customer Model'!E14</f>
        <v>42766148</v>
      </c>
      <c r="O49" s="81">
        <f>O30*'3b. Rate Class Customer Model'!F14</f>
        <v>6288</v>
      </c>
      <c r="P49" s="81">
        <f>P30*'3b. Rate Class Customer Model'!G14</f>
        <v>19673.28</v>
      </c>
      <c r="Q49" s="81">
        <f>Q30*'3b. Rate Class Customer Model'!H14</f>
        <v>229832.84868997012</v>
      </c>
      <c r="R49" s="87"/>
    </row>
    <row r="50" spans="1:19">
      <c r="I50" s="45"/>
      <c r="R50" s="87"/>
    </row>
    <row r="51" spans="1:19">
      <c r="A51" s="14" t="s">
        <v>104</v>
      </c>
      <c r="I51" s="89" t="s">
        <v>105</v>
      </c>
      <c r="R51" s="89" t="s">
        <v>32</v>
      </c>
    </row>
    <row r="52" spans="1:19">
      <c r="A52" s="70">
        <v>2020</v>
      </c>
      <c r="G52" s="47"/>
      <c r="I52" s="40">
        <f>I13</f>
        <v>103420885.19841951</v>
      </c>
      <c r="K52" s="90">
        <f>K48+K60-K64</f>
        <v>28118310.361461345</v>
      </c>
      <c r="L52" s="90">
        <f t="shared" ref="L52:P52" si="10">L48+L60-L64</f>
        <v>12276967.014886443</v>
      </c>
      <c r="M52" s="90">
        <f t="shared" si="10"/>
        <v>20003665.693381749</v>
      </c>
      <c r="N52" s="90">
        <f t="shared" si="10"/>
        <v>42766148</v>
      </c>
      <c r="O52" s="90">
        <f t="shared" si="10"/>
        <v>6288</v>
      </c>
      <c r="P52" s="90">
        <f t="shared" si="10"/>
        <v>19673.28</v>
      </c>
      <c r="Q52" s="90">
        <f>Q48+Q60-Q64</f>
        <v>229832.84868997012</v>
      </c>
      <c r="R52" s="40">
        <f>SUM(K52:Q52)</f>
        <v>103420885.19841951</v>
      </c>
    </row>
    <row r="53" spans="1:19">
      <c r="A53" s="70">
        <v>2021</v>
      </c>
      <c r="I53" s="40">
        <f>I14</f>
        <v>104108568.74706428</v>
      </c>
      <c r="K53" s="90">
        <f>K49+K61-K65</f>
        <v>28727503.510936856</v>
      </c>
      <c r="L53" s="90">
        <f t="shared" ref="L53:Q53" si="11">L49+L61-L65</f>
        <v>12416983.116912235</v>
      </c>
      <c r="M53" s="90">
        <f t="shared" si="11"/>
        <v>19942139.990525208</v>
      </c>
      <c r="N53" s="90">
        <f t="shared" si="11"/>
        <v>42766148</v>
      </c>
      <c r="O53" s="90">
        <f t="shared" si="11"/>
        <v>6288</v>
      </c>
      <c r="P53" s="90">
        <f t="shared" si="11"/>
        <v>19673.28</v>
      </c>
      <c r="Q53" s="90">
        <f t="shared" si="11"/>
        <v>229832.84868997012</v>
      </c>
      <c r="R53" s="40">
        <f>SUM(K53:Q53)</f>
        <v>104108568.74706426</v>
      </c>
    </row>
    <row r="54" spans="1:19">
      <c r="I54" s="45"/>
    </row>
    <row r="55" spans="1:19">
      <c r="A55" s="14" t="s">
        <v>106</v>
      </c>
      <c r="I55" s="45"/>
      <c r="K55" s="88">
        <v>0.82499999999999996</v>
      </c>
      <c r="L55" s="88">
        <v>0.82499999999999996</v>
      </c>
      <c r="M55" s="88">
        <v>0.65</v>
      </c>
      <c r="N55" s="88">
        <v>0</v>
      </c>
      <c r="O55" s="88">
        <v>0</v>
      </c>
      <c r="P55" s="88">
        <v>0</v>
      </c>
      <c r="Q55" s="88">
        <v>0</v>
      </c>
      <c r="R55" s="89" t="s">
        <v>32</v>
      </c>
    </row>
    <row r="56" spans="1:19">
      <c r="A56" s="70">
        <v>2020</v>
      </c>
      <c r="I56" s="40">
        <f>I52-I48</f>
        <v>5346766.1491297483</v>
      </c>
      <c r="K56" s="81">
        <f>K48*K$55</f>
        <v>21001519.058496423</v>
      </c>
      <c r="L56" s="81">
        <f t="shared" ref="K56:Q57" si="12">L48*L$55</f>
        <v>9169646.1639834289</v>
      </c>
      <c r="M56" s="81">
        <f t="shared" si="12"/>
        <v>12012693.914011797</v>
      </c>
      <c r="N56" s="81">
        <f t="shared" si="12"/>
        <v>0</v>
      </c>
      <c r="O56" s="81">
        <f t="shared" si="12"/>
        <v>0</v>
      </c>
      <c r="P56" s="81">
        <f t="shared" si="12"/>
        <v>0</v>
      </c>
      <c r="Q56" s="81">
        <f t="shared" si="12"/>
        <v>0</v>
      </c>
      <c r="R56" s="81">
        <f>SUM(K56:Q56)</f>
        <v>42183859.136491649</v>
      </c>
    </row>
    <row r="57" spans="1:19">
      <c r="A57" s="70">
        <v>2021</v>
      </c>
      <c r="I57" s="40">
        <f>I53-I49</f>
        <v>6108973.2303146124</v>
      </c>
      <c r="K57" s="81">
        <f t="shared" si="12"/>
        <v>21169913.245028704</v>
      </c>
      <c r="L57" s="81">
        <f t="shared" si="12"/>
        <v>9150341.074710587</v>
      </c>
      <c r="M57" s="81">
        <f t="shared" si="12"/>
        <v>11846789.480626021</v>
      </c>
      <c r="N57" s="81">
        <f t="shared" si="12"/>
        <v>0</v>
      </c>
      <c r="O57" s="81">
        <f t="shared" si="12"/>
        <v>0</v>
      </c>
      <c r="P57" s="81">
        <f t="shared" si="12"/>
        <v>0</v>
      </c>
      <c r="Q57" s="81">
        <f t="shared" si="12"/>
        <v>0</v>
      </c>
      <c r="R57" s="81">
        <f>SUM(K57:Q57)</f>
        <v>42167043.800365314</v>
      </c>
    </row>
    <row r="58" spans="1:19">
      <c r="I58" s="45"/>
    </row>
    <row r="59" spans="1:19">
      <c r="A59" s="14" t="s">
        <v>107</v>
      </c>
      <c r="I59" s="45"/>
      <c r="R59" s="89" t="s">
        <v>32</v>
      </c>
    </row>
    <row r="60" spans="1:19">
      <c r="A60" s="70">
        <v>2020</v>
      </c>
      <c r="I60" s="45"/>
      <c r="K60" s="81">
        <f>K56/$R$56*$I$56</f>
        <v>2661923.6238899245</v>
      </c>
      <c r="L60" s="81">
        <f t="shared" ref="L60:Q60" si="13">L56/$R$56*$I$56</f>
        <v>1162244.3918762244</v>
      </c>
      <c r="M60" s="81">
        <f t="shared" si="13"/>
        <v>1522598.1333635999</v>
      </c>
      <c r="N60" s="81">
        <f t="shared" si="13"/>
        <v>0</v>
      </c>
      <c r="O60" s="81">
        <f t="shared" si="13"/>
        <v>0</v>
      </c>
      <c r="P60" s="81">
        <f t="shared" si="13"/>
        <v>0</v>
      </c>
      <c r="Q60" s="81">
        <f t="shared" si="13"/>
        <v>0</v>
      </c>
      <c r="R60" s="81">
        <f>SUM(K60:Q60)</f>
        <v>5346766.1491297483</v>
      </c>
      <c r="S60" s="91" t="str">
        <f>IF(R60=I56,"OK","ERROR")</f>
        <v>OK</v>
      </c>
    </row>
    <row r="61" spans="1:19">
      <c r="A61" s="70">
        <v>2021</v>
      </c>
      <c r="I61" s="45"/>
      <c r="K61" s="81">
        <f>K57/$R$57*$I$57</f>
        <v>3067002.6078717592</v>
      </c>
      <c r="L61" s="81">
        <f t="shared" ref="L61:Q61" si="14">L57/$R$57*$I$57</f>
        <v>1325660.6021115223</v>
      </c>
      <c r="M61" s="81">
        <f t="shared" si="14"/>
        <v>1716310.0203313306</v>
      </c>
      <c r="N61" s="81">
        <f t="shared" si="14"/>
        <v>0</v>
      </c>
      <c r="O61" s="81">
        <f t="shared" si="14"/>
        <v>0</v>
      </c>
      <c r="P61" s="81">
        <f t="shared" si="14"/>
        <v>0</v>
      </c>
      <c r="Q61" s="81">
        <f t="shared" si="14"/>
        <v>0</v>
      </c>
      <c r="R61" s="81">
        <f>SUM(K61:Q61)</f>
        <v>6108973.2303146124</v>
      </c>
      <c r="S61" s="91" t="str">
        <f>IF(R61=I57,"OK","ERROR")</f>
        <v>OK</v>
      </c>
    </row>
    <row r="62" spans="1:19">
      <c r="I62" s="45"/>
    </row>
    <row r="63" spans="1:19">
      <c r="A63" s="14" t="s">
        <v>108</v>
      </c>
      <c r="I63" s="45"/>
      <c r="R63" s="89" t="s">
        <v>32</v>
      </c>
    </row>
    <row r="64" spans="1:19">
      <c r="A64" s="70">
        <v>2020</v>
      </c>
      <c r="I64" s="40">
        <v>0</v>
      </c>
      <c r="K64" s="81">
        <f>$I$64*K48/($K$48+$L$48+$M$48+$N$48)</f>
        <v>0</v>
      </c>
      <c r="L64" s="81">
        <f t="shared" ref="L64:N64" si="15">$I$64*L48/($K$48+$L$48+$M$48+$N$48)</f>
        <v>0</v>
      </c>
      <c r="M64" s="81">
        <f t="shared" si="15"/>
        <v>0</v>
      </c>
      <c r="N64" s="81">
        <f t="shared" si="15"/>
        <v>0</v>
      </c>
      <c r="O64" s="45">
        <v>0</v>
      </c>
      <c r="P64" s="45">
        <v>0</v>
      </c>
      <c r="Q64" s="45">
        <v>0</v>
      </c>
      <c r="R64" s="81">
        <f>SUM(K64:Q64)</f>
        <v>0</v>
      </c>
    </row>
    <row r="65" spans="1:18">
      <c r="A65" s="70">
        <v>2021</v>
      </c>
      <c r="I65" s="40">
        <v>0</v>
      </c>
      <c r="K65" s="81">
        <f>$I$65*K49/($K$49+$L$49+$M$49+$N$49)</f>
        <v>0</v>
      </c>
      <c r="L65" s="81">
        <f t="shared" ref="L65:N65" si="16">$I$65*L49/($K$49+$L$49+$M$49+$N$49)</f>
        <v>0</v>
      </c>
      <c r="M65" s="81">
        <f t="shared" si="16"/>
        <v>0</v>
      </c>
      <c r="N65" s="81">
        <f t="shared" si="16"/>
        <v>0</v>
      </c>
      <c r="O65" s="45">
        <v>0</v>
      </c>
      <c r="P65" s="45">
        <v>0</v>
      </c>
      <c r="Q65" s="45">
        <v>0</v>
      </c>
      <c r="R65" s="81">
        <f>SUM(K65:Q65)</f>
        <v>0</v>
      </c>
    </row>
  </sheetData>
  <pageMargins left="0.7" right="0.7" top="0.75" bottom="0.75" header="0.3" footer="0.3"/>
  <legacy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43"/>
  <sheetViews>
    <sheetView workbookViewId="0">
      <selection activeCell="Q31" sqref="Q31"/>
    </sheetView>
  </sheetViews>
  <sheetFormatPr defaultColWidth="8.58203125" defaultRowHeight="14.5"/>
  <cols>
    <col min="1" max="1" width="8.58203125" style="36"/>
    <col min="2" max="2" width="10.33203125" style="38" bestFit="1" customWidth="1"/>
    <col min="3" max="3" width="12.08203125" style="38" customWidth="1"/>
    <col min="4" max="4" width="11.5" style="38" customWidth="1"/>
    <col min="5" max="5" width="13.33203125" style="38" bestFit="1" customWidth="1"/>
    <col min="6" max="6" width="10.08203125" style="38" customWidth="1"/>
    <col min="7" max="7" width="6.83203125" style="38" bestFit="1" customWidth="1"/>
    <col min="8" max="8" width="9.83203125" style="38" bestFit="1" customWidth="1"/>
    <col min="9" max="10" width="8.58203125" style="36"/>
    <col min="11" max="11" width="9.58203125" style="36" bestFit="1" customWidth="1"/>
    <col min="12" max="12" width="9.08203125" style="36" bestFit="1" customWidth="1"/>
    <col min="13" max="13" width="8.08203125" style="36" bestFit="1" customWidth="1"/>
    <col min="14" max="14" width="10.5" style="36" bestFit="1" customWidth="1"/>
    <col min="15" max="15" width="13.33203125" style="36" bestFit="1" customWidth="1"/>
    <col min="16" max="17" width="6.83203125" style="36" bestFit="1" customWidth="1"/>
    <col min="18" max="18" width="9.83203125" style="36" bestFit="1" customWidth="1"/>
    <col min="19" max="16384" width="8.58203125" style="36"/>
  </cols>
  <sheetData>
    <row r="1" spans="1:18" ht="43.5">
      <c r="B1" s="3" t="s">
        <v>14</v>
      </c>
      <c r="C1" s="271" t="s">
        <v>201</v>
      </c>
      <c r="D1" s="271" t="s">
        <v>202</v>
      </c>
      <c r="E1" s="271" t="s">
        <v>203</v>
      </c>
      <c r="F1" s="271" t="s">
        <v>133</v>
      </c>
      <c r="G1" s="3" t="s">
        <v>57</v>
      </c>
      <c r="H1" s="3" t="s">
        <v>58</v>
      </c>
      <c r="I1" s="63" t="s">
        <v>32</v>
      </c>
      <c r="K1" s="36" t="s">
        <v>67</v>
      </c>
      <c r="L1" s="3" t="s">
        <v>14</v>
      </c>
      <c r="M1" s="3" t="s">
        <v>48</v>
      </c>
      <c r="N1" s="3" t="s">
        <v>54</v>
      </c>
      <c r="O1" s="3" t="s">
        <v>55</v>
      </c>
      <c r="P1" s="3" t="s">
        <v>56</v>
      </c>
      <c r="Q1" s="3" t="s">
        <v>57</v>
      </c>
      <c r="R1" s="3" t="s">
        <v>58</v>
      </c>
    </row>
    <row r="2" spans="1:18">
      <c r="B2" s="272" t="s">
        <v>195</v>
      </c>
      <c r="C2" s="272" t="s">
        <v>195</v>
      </c>
      <c r="D2" s="272" t="s">
        <v>195</v>
      </c>
      <c r="E2" s="272" t="s">
        <v>195</v>
      </c>
      <c r="F2" s="272" t="s">
        <v>204</v>
      </c>
      <c r="G2" s="272" t="s">
        <v>204</v>
      </c>
      <c r="H2" s="272" t="s">
        <v>204</v>
      </c>
      <c r="I2" s="63"/>
      <c r="L2" s="3"/>
      <c r="M2" s="3"/>
      <c r="N2" s="3"/>
      <c r="O2" s="3"/>
      <c r="P2" s="3"/>
      <c r="Q2" s="3"/>
      <c r="R2" s="3"/>
    </row>
    <row r="3" spans="1:18">
      <c r="A3" s="36">
        <v>2010</v>
      </c>
      <c r="B3" s="52">
        <f>'5c. Customer Count-Connections'!C128</f>
        <v>3072.9166666666665</v>
      </c>
      <c r="C3" s="52">
        <v>479</v>
      </c>
      <c r="D3" s="52">
        <v>39.666666666666664</v>
      </c>
      <c r="E3" s="52">
        <v>5</v>
      </c>
      <c r="F3" s="52">
        <v>1.1666666666666667</v>
      </c>
      <c r="G3" s="52">
        <v>28</v>
      </c>
      <c r="H3" s="52">
        <v>900</v>
      </c>
      <c r="I3" s="53">
        <f>SUM(B3:H3)</f>
        <v>4525.75</v>
      </c>
      <c r="L3" s="38"/>
      <c r="M3" s="38"/>
      <c r="N3" s="38"/>
      <c r="O3" s="38"/>
      <c r="P3" s="38"/>
      <c r="Q3" s="38"/>
      <c r="R3" s="38"/>
    </row>
    <row r="4" spans="1:18">
      <c r="A4" s="36">
        <v>2011</v>
      </c>
      <c r="B4" s="52">
        <f>'5c. Customer Count-Connections'!C129</f>
        <v>3103.25</v>
      </c>
      <c r="C4" s="52">
        <v>477.75</v>
      </c>
      <c r="D4" s="52">
        <v>38.333333333333336</v>
      </c>
      <c r="E4" s="52">
        <v>5</v>
      </c>
      <c r="F4" s="52">
        <v>1.5833333333333333</v>
      </c>
      <c r="G4" s="52">
        <v>28</v>
      </c>
      <c r="H4" s="52">
        <v>899.16666666666663</v>
      </c>
      <c r="I4" s="53">
        <f t="shared" ref="I4:I14" si="0">SUM(B4:H4)</f>
        <v>4553.0833333333339</v>
      </c>
      <c r="K4" s="36">
        <v>2011</v>
      </c>
      <c r="L4" s="56">
        <f>(B4-B3)/B3</f>
        <v>9.8711864406780155E-3</v>
      </c>
      <c r="M4" s="56">
        <f t="shared" ref="M4:M14" si="1">(C4-C3)/C3</f>
        <v>-2.6096033402922755E-3</v>
      </c>
      <c r="N4" s="56">
        <f t="shared" ref="N4:N14" si="2">(D4-D3)/D3</f>
        <v>-3.3613445378151141E-2</v>
      </c>
      <c r="O4" s="56">
        <f t="shared" ref="O4:O14" si="3">(E4-E3)/E3</f>
        <v>0</v>
      </c>
      <c r="P4" s="56">
        <f t="shared" ref="P4:P14" si="4">(F4-F3)/F3</f>
        <v>0.35714285714285698</v>
      </c>
      <c r="Q4" s="56">
        <f t="shared" ref="Q4:Q14" si="5">(G4-G3)/G3</f>
        <v>0</v>
      </c>
      <c r="R4" s="56">
        <f t="shared" ref="R4:R14" si="6">(H4-H3)/H3</f>
        <v>-9.2592592592596803E-4</v>
      </c>
    </row>
    <row r="5" spans="1:18">
      <c r="A5" s="36">
        <v>2012</v>
      </c>
      <c r="B5" s="52">
        <f>'5c. Customer Count-Connections'!C130</f>
        <v>3126.3333333333335</v>
      </c>
      <c r="C5" s="52">
        <v>477.75</v>
      </c>
      <c r="D5" s="52">
        <v>37.666666666666664</v>
      </c>
      <c r="E5" s="52">
        <v>5</v>
      </c>
      <c r="F5" s="52">
        <v>1.3333333333333333</v>
      </c>
      <c r="G5" s="52">
        <v>28</v>
      </c>
      <c r="H5" s="52">
        <v>898</v>
      </c>
      <c r="I5" s="53">
        <f t="shared" si="0"/>
        <v>4574.0833333333339</v>
      </c>
      <c r="K5" s="36">
        <v>2012</v>
      </c>
      <c r="L5" s="56">
        <f t="shared" ref="L5:L14" si="7">(B5-B4)/B4</f>
        <v>7.4384381965144561E-3</v>
      </c>
      <c r="M5" s="56">
        <f t="shared" si="1"/>
        <v>0</v>
      </c>
      <c r="N5" s="56">
        <f t="shared" si="2"/>
        <v>-1.7391304347826209E-2</v>
      </c>
      <c r="O5" s="56">
        <f t="shared" si="3"/>
        <v>0</v>
      </c>
      <c r="P5" s="56">
        <f t="shared" si="4"/>
        <v>-0.15789473684210528</v>
      </c>
      <c r="Q5" s="56">
        <f t="shared" si="5"/>
        <v>0</v>
      </c>
      <c r="R5" s="56">
        <f t="shared" si="6"/>
        <v>-1.2974976830398097E-3</v>
      </c>
    </row>
    <row r="6" spans="1:18">
      <c r="A6" s="36">
        <v>2013</v>
      </c>
      <c r="B6" s="52">
        <f>'5c. Customer Count-Connections'!C131</f>
        <v>3160.5</v>
      </c>
      <c r="C6" s="52">
        <v>474.25</v>
      </c>
      <c r="D6" s="52">
        <v>38.416666666666664</v>
      </c>
      <c r="E6" s="52">
        <v>5.833333333333333</v>
      </c>
      <c r="F6" s="52">
        <v>1.5833333333333333</v>
      </c>
      <c r="G6" s="52">
        <v>28</v>
      </c>
      <c r="H6" s="52">
        <v>899.5</v>
      </c>
      <c r="I6" s="53">
        <f t="shared" si="0"/>
        <v>4608.0833333333339</v>
      </c>
      <c r="K6" s="36">
        <v>2013</v>
      </c>
      <c r="L6" s="56">
        <f t="shared" si="7"/>
        <v>1.0928670433948132E-2</v>
      </c>
      <c r="M6" s="56">
        <f t="shared" si="1"/>
        <v>-7.326007326007326E-3</v>
      </c>
      <c r="N6" s="56">
        <f t="shared" si="2"/>
        <v>1.9911504424778761E-2</v>
      </c>
      <c r="O6" s="56">
        <f t="shared" si="3"/>
        <v>0.1666666666666666</v>
      </c>
      <c r="P6" s="56">
        <f t="shared" si="4"/>
        <v>0.1875</v>
      </c>
      <c r="Q6" s="56">
        <f t="shared" si="5"/>
        <v>0</v>
      </c>
      <c r="R6" s="56">
        <f t="shared" si="6"/>
        <v>1.6703786191536749E-3</v>
      </c>
    </row>
    <row r="7" spans="1:18">
      <c r="A7" s="36">
        <v>2014</v>
      </c>
      <c r="B7" s="52">
        <f>'5c. Customer Count-Connections'!C132</f>
        <v>3190.4166666666665</v>
      </c>
      <c r="C7" s="52">
        <v>473.08333333333331</v>
      </c>
      <c r="D7" s="52">
        <v>38.333333333333336</v>
      </c>
      <c r="E7" s="52">
        <v>5.833333333333333</v>
      </c>
      <c r="F7" s="52">
        <v>1.1666666666666667</v>
      </c>
      <c r="G7" s="52">
        <v>27.916666666666668</v>
      </c>
      <c r="H7" s="52">
        <v>905</v>
      </c>
      <c r="I7" s="53">
        <f t="shared" si="0"/>
        <v>4641.75</v>
      </c>
      <c r="K7" s="36">
        <v>2014</v>
      </c>
      <c r="L7" s="56">
        <f t="shared" si="7"/>
        <v>9.4658018246057633E-3</v>
      </c>
      <c r="M7" s="56">
        <f t="shared" si="1"/>
        <v>-2.4600246002460424E-3</v>
      </c>
      <c r="N7" s="56">
        <f t="shared" si="2"/>
        <v>-2.1691973969630005E-3</v>
      </c>
      <c r="O7" s="56">
        <f t="shared" si="3"/>
        <v>0</v>
      </c>
      <c r="P7" s="56">
        <f t="shared" si="4"/>
        <v>-0.26315789473684204</v>
      </c>
      <c r="Q7" s="56">
        <f t="shared" si="5"/>
        <v>-2.976190476190434E-3</v>
      </c>
      <c r="R7" s="56">
        <f t="shared" si="6"/>
        <v>6.1145080600333518E-3</v>
      </c>
    </row>
    <row r="8" spans="1:18">
      <c r="A8" s="36">
        <v>2015</v>
      </c>
      <c r="B8" s="52">
        <f>'5c. Customer Count-Connections'!C133</f>
        <v>3211.9166666666665</v>
      </c>
      <c r="C8" s="52">
        <v>474.41666666666669</v>
      </c>
      <c r="D8" s="52">
        <v>35.75</v>
      </c>
      <c r="E8" s="52">
        <v>5</v>
      </c>
      <c r="F8" s="52">
        <v>1</v>
      </c>
      <c r="G8" s="52">
        <v>26.5</v>
      </c>
      <c r="H8" s="52">
        <v>905</v>
      </c>
      <c r="I8" s="53">
        <f t="shared" si="0"/>
        <v>4659.583333333333</v>
      </c>
      <c r="K8" s="36">
        <v>2015</v>
      </c>
      <c r="L8" s="56">
        <f t="shared" si="7"/>
        <v>6.7389316964868752E-3</v>
      </c>
      <c r="M8" s="56">
        <f t="shared" si="1"/>
        <v>2.8183899947155991E-3</v>
      </c>
      <c r="N8" s="56">
        <f t="shared" si="2"/>
        <v>-6.7391304347826142E-2</v>
      </c>
      <c r="O8" s="56">
        <f t="shared" si="3"/>
        <v>-0.14285714285714282</v>
      </c>
      <c r="P8" s="56">
        <f t="shared" si="4"/>
        <v>-0.1428571428571429</v>
      </c>
      <c r="Q8" s="56">
        <f t="shared" si="5"/>
        <v>-5.0746268656716456E-2</v>
      </c>
      <c r="R8" s="56">
        <f t="shared" si="6"/>
        <v>0</v>
      </c>
    </row>
    <row r="9" spans="1:18">
      <c r="A9" s="36">
        <v>2016</v>
      </c>
      <c r="B9" s="52">
        <f>'5c. Customer Count-Connections'!C134</f>
        <v>3219.3333333333335</v>
      </c>
      <c r="C9" s="52">
        <v>469.33333333333331</v>
      </c>
      <c r="D9" s="52">
        <v>35.583333333333336</v>
      </c>
      <c r="E9" s="52">
        <v>5</v>
      </c>
      <c r="F9" s="52">
        <v>1.5833333333333333</v>
      </c>
      <c r="G9" s="52">
        <v>24</v>
      </c>
      <c r="H9" s="52">
        <v>907.08333333333337</v>
      </c>
      <c r="I9" s="53">
        <f t="shared" si="0"/>
        <v>4661.916666666667</v>
      </c>
      <c r="K9" s="36">
        <v>2016</v>
      </c>
      <c r="L9" s="56">
        <f t="shared" si="7"/>
        <v>2.3091093064889511E-3</v>
      </c>
      <c r="M9" s="56">
        <f t="shared" si="1"/>
        <v>-1.0714913051115485E-2</v>
      </c>
      <c r="N9" s="56">
        <f t="shared" si="2"/>
        <v>-4.6620046620045961E-3</v>
      </c>
      <c r="O9" s="56">
        <f t="shared" si="3"/>
        <v>0</v>
      </c>
      <c r="P9" s="56">
        <f t="shared" si="4"/>
        <v>0.58333333333333326</v>
      </c>
      <c r="Q9" s="56">
        <f t="shared" si="5"/>
        <v>-9.4339622641509441E-2</v>
      </c>
      <c r="R9" s="56">
        <f t="shared" si="6"/>
        <v>2.3020257826888079E-3</v>
      </c>
    </row>
    <row r="10" spans="1:18">
      <c r="A10" s="36">
        <v>2017</v>
      </c>
      <c r="B10" s="52">
        <f>'5c. Customer Count-Connections'!C135</f>
        <v>3245.6666666666665</v>
      </c>
      <c r="C10" s="52">
        <v>472.75</v>
      </c>
      <c r="D10" s="52">
        <v>34.75</v>
      </c>
      <c r="E10" s="52">
        <v>5</v>
      </c>
      <c r="F10" s="52">
        <v>2</v>
      </c>
      <c r="G10" s="52">
        <v>23.083333333333332</v>
      </c>
      <c r="H10" s="52">
        <v>908.33333333333337</v>
      </c>
      <c r="I10" s="53">
        <f t="shared" si="0"/>
        <v>4691.583333333333</v>
      </c>
      <c r="K10" s="36">
        <v>2017</v>
      </c>
      <c r="L10" s="56">
        <f t="shared" si="7"/>
        <v>8.179747359701707E-3</v>
      </c>
      <c r="M10" s="56">
        <f t="shared" si="1"/>
        <v>7.2798295454545858E-3</v>
      </c>
      <c r="N10" s="56">
        <f t="shared" si="2"/>
        <v>-2.3419203747072664E-2</v>
      </c>
      <c r="O10" s="56">
        <f t="shared" si="3"/>
        <v>0</v>
      </c>
      <c r="P10" s="56">
        <f t="shared" si="4"/>
        <v>0.26315789473684215</v>
      </c>
      <c r="Q10" s="56">
        <f t="shared" si="5"/>
        <v>-3.8194444444444496E-2</v>
      </c>
      <c r="R10" s="56">
        <f t="shared" si="6"/>
        <v>1.3780431786862655E-3</v>
      </c>
    </row>
    <row r="11" spans="1:18">
      <c r="A11" s="36">
        <v>2018</v>
      </c>
      <c r="B11" s="52">
        <f>'5c. Customer Count-Connections'!C136</f>
        <v>3278.5833333333335</v>
      </c>
      <c r="C11" s="52">
        <v>470.16666666666669</v>
      </c>
      <c r="D11" s="52">
        <v>34</v>
      </c>
      <c r="E11" s="52">
        <v>5</v>
      </c>
      <c r="F11" s="52">
        <v>2.3333333333333335</v>
      </c>
      <c r="G11" s="52">
        <v>23</v>
      </c>
      <c r="H11" s="52">
        <v>908</v>
      </c>
      <c r="I11" s="53">
        <f t="shared" si="0"/>
        <v>4721.0833333333339</v>
      </c>
      <c r="K11" s="36">
        <v>2018</v>
      </c>
      <c r="L11" s="56">
        <f t="shared" si="7"/>
        <v>1.0141727431447152E-2</v>
      </c>
      <c r="M11" s="56">
        <f t="shared" si="1"/>
        <v>-5.4644808743169E-3</v>
      </c>
      <c r="N11" s="56">
        <f t="shared" si="2"/>
        <v>-2.1582733812949641E-2</v>
      </c>
      <c r="O11" s="56">
        <f t="shared" si="3"/>
        <v>0</v>
      </c>
      <c r="P11" s="56">
        <f t="shared" si="4"/>
        <v>0.16666666666666674</v>
      </c>
      <c r="Q11" s="56">
        <f t="shared" si="5"/>
        <v>-3.6101083032490464E-3</v>
      </c>
      <c r="R11" s="56">
        <f t="shared" si="6"/>
        <v>-3.6697247706426187E-4</v>
      </c>
    </row>
    <row r="12" spans="1:18">
      <c r="A12" s="36">
        <v>2019</v>
      </c>
      <c r="B12" s="52">
        <f>'5c. Customer Count-Connections'!C137</f>
        <v>3301.9166666666665</v>
      </c>
      <c r="C12" s="52">
        <v>470</v>
      </c>
      <c r="D12" s="52">
        <v>35</v>
      </c>
      <c r="E12" s="52">
        <v>5</v>
      </c>
      <c r="F12" s="52">
        <v>2.3333333333333335</v>
      </c>
      <c r="G12" s="52">
        <v>23</v>
      </c>
      <c r="H12" s="52">
        <v>907.91666666666663</v>
      </c>
      <c r="I12" s="53">
        <f t="shared" si="0"/>
        <v>4745.166666666667</v>
      </c>
      <c r="K12" s="36">
        <v>2019</v>
      </c>
      <c r="L12" s="56">
        <f t="shared" si="7"/>
        <v>7.1168950003811697E-3</v>
      </c>
      <c r="M12" s="56">
        <f t="shared" si="1"/>
        <v>-3.5448422545200767E-4</v>
      </c>
      <c r="N12" s="56">
        <f t="shared" si="2"/>
        <v>2.9411764705882353E-2</v>
      </c>
      <c r="O12" s="56">
        <f t="shared" si="3"/>
        <v>0</v>
      </c>
      <c r="P12" s="56">
        <f t="shared" si="4"/>
        <v>0</v>
      </c>
      <c r="Q12" s="56">
        <f t="shared" si="5"/>
        <v>0</v>
      </c>
      <c r="R12" s="56">
        <f t="shared" si="6"/>
        <v>-9.1776798825298712E-5</v>
      </c>
    </row>
    <row r="13" spans="1:18">
      <c r="A13" s="57">
        <v>2020</v>
      </c>
      <c r="B13" s="61">
        <f>B12*B$29</f>
        <v>3328.3920644477507</v>
      </c>
      <c r="C13" s="61">
        <f t="shared" ref="C13:E14" si="8">C12*C$29</f>
        <v>469.01049704688995</v>
      </c>
      <c r="D13" s="61">
        <f t="shared" si="8"/>
        <v>34.516623397710227</v>
      </c>
      <c r="E13" s="61">
        <f t="shared" si="8"/>
        <v>5</v>
      </c>
      <c r="F13" s="61">
        <f t="shared" ref="F13:H14" si="9">F12*F$30</f>
        <v>2.3333333333333335</v>
      </c>
      <c r="G13" s="61">
        <f t="shared" si="9"/>
        <v>23</v>
      </c>
      <c r="H13" s="61">
        <v>924</v>
      </c>
      <c r="I13" s="58">
        <f t="shared" si="0"/>
        <v>4786.252518225685</v>
      </c>
      <c r="K13" s="36">
        <v>2020</v>
      </c>
      <c r="L13" s="56">
        <f t="shared" si="7"/>
        <v>8.0181907824498529E-3</v>
      </c>
      <c r="M13" s="56">
        <f t="shared" si="1"/>
        <v>-2.1053254321490374E-3</v>
      </c>
      <c r="N13" s="56">
        <f t="shared" si="2"/>
        <v>-1.3810760065422098E-2</v>
      </c>
      <c r="O13" s="56">
        <f t="shared" si="3"/>
        <v>0</v>
      </c>
      <c r="P13" s="56">
        <f t="shared" si="4"/>
        <v>0</v>
      </c>
      <c r="Q13" s="56">
        <f t="shared" si="5"/>
        <v>0</v>
      </c>
      <c r="R13" s="56">
        <f t="shared" si="6"/>
        <v>1.771454795777884E-2</v>
      </c>
    </row>
    <row r="14" spans="1:18">
      <c r="A14" s="59">
        <v>2021</v>
      </c>
      <c r="B14" s="62">
        <f>B13*B$29</f>
        <v>3355.0797470192852</v>
      </c>
      <c r="C14" s="62">
        <f t="shared" si="8"/>
        <v>468.02307731951225</v>
      </c>
      <c r="D14" s="62">
        <f t="shared" si="8"/>
        <v>34.039922593695913</v>
      </c>
      <c r="E14" s="62">
        <f t="shared" si="8"/>
        <v>5</v>
      </c>
      <c r="F14" s="62">
        <f t="shared" si="9"/>
        <v>2.3333333333333335</v>
      </c>
      <c r="G14" s="62">
        <f t="shared" si="9"/>
        <v>23</v>
      </c>
      <c r="H14" s="62">
        <f t="shared" si="9"/>
        <v>924</v>
      </c>
      <c r="I14" s="60">
        <f t="shared" si="0"/>
        <v>4811.4760802658266</v>
      </c>
      <c r="K14" s="36">
        <v>2021</v>
      </c>
      <c r="L14" s="56">
        <f t="shared" si="7"/>
        <v>8.0181907824499223E-3</v>
      </c>
      <c r="M14" s="56">
        <f t="shared" si="1"/>
        <v>-2.1053254321490803E-3</v>
      </c>
      <c r="N14" s="56">
        <f t="shared" si="2"/>
        <v>-1.3810760065422199E-2</v>
      </c>
      <c r="O14" s="56">
        <f t="shared" si="3"/>
        <v>0</v>
      </c>
      <c r="P14" s="56">
        <f t="shared" si="4"/>
        <v>0</v>
      </c>
      <c r="Q14" s="56">
        <f t="shared" si="5"/>
        <v>0</v>
      </c>
      <c r="R14" s="56">
        <f t="shared" si="6"/>
        <v>0</v>
      </c>
    </row>
    <row r="18" spans="1:12">
      <c r="A18" s="55" t="s">
        <v>93</v>
      </c>
      <c r="L18" s="165"/>
    </row>
    <row r="19" spans="1:12">
      <c r="A19" s="36">
        <v>2011</v>
      </c>
      <c r="B19" s="218">
        <f>B4/B3</f>
        <v>1.009871186440678</v>
      </c>
      <c r="C19" s="218">
        <f t="shared" ref="C19:H19" si="10">C4/C3</f>
        <v>0.99739039665970775</v>
      </c>
      <c r="D19" s="218">
        <f t="shared" si="10"/>
        <v>0.96638655462184886</v>
      </c>
      <c r="E19" s="218">
        <f t="shared" si="10"/>
        <v>1</v>
      </c>
      <c r="F19" s="218">
        <f t="shared" si="10"/>
        <v>1.357142857142857</v>
      </c>
      <c r="G19" s="218">
        <f t="shared" si="10"/>
        <v>1</v>
      </c>
      <c r="H19" s="218">
        <f t="shared" si="10"/>
        <v>0.999074074074074</v>
      </c>
      <c r="L19" s="165"/>
    </row>
    <row r="20" spans="1:12">
      <c r="A20" s="36">
        <v>2012</v>
      </c>
      <c r="B20" s="218">
        <f t="shared" ref="B20:H27" si="11">B5/B4</f>
        <v>1.0074384381965145</v>
      </c>
      <c r="C20" s="218">
        <f t="shared" si="11"/>
        <v>1</v>
      </c>
      <c r="D20" s="218">
        <f t="shared" si="11"/>
        <v>0.98260869565217379</v>
      </c>
      <c r="E20" s="218">
        <f t="shared" si="11"/>
        <v>1</v>
      </c>
      <c r="F20" s="218">
        <f t="shared" si="11"/>
        <v>0.84210526315789469</v>
      </c>
      <c r="G20" s="218">
        <f t="shared" si="11"/>
        <v>1</v>
      </c>
      <c r="H20" s="218">
        <f t="shared" si="11"/>
        <v>0.99870250231696023</v>
      </c>
      <c r="L20" s="165"/>
    </row>
    <row r="21" spans="1:12">
      <c r="A21" s="36">
        <v>2013</v>
      </c>
      <c r="B21" s="218">
        <f t="shared" si="11"/>
        <v>1.0109286704339482</v>
      </c>
      <c r="C21" s="218">
        <f t="shared" si="11"/>
        <v>0.9926739926739927</v>
      </c>
      <c r="D21" s="218">
        <f t="shared" si="11"/>
        <v>1.0199115044247788</v>
      </c>
      <c r="E21" s="218">
        <f t="shared" si="11"/>
        <v>1.1666666666666665</v>
      </c>
      <c r="F21" s="218">
        <f t="shared" si="11"/>
        <v>1.1875</v>
      </c>
      <c r="G21" s="218">
        <f t="shared" si="11"/>
        <v>1</v>
      </c>
      <c r="H21" s="218">
        <f t="shared" si="11"/>
        <v>1.0016703786191536</v>
      </c>
      <c r="L21" s="165"/>
    </row>
    <row r="22" spans="1:12">
      <c r="A22" s="36">
        <v>2014</v>
      </c>
      <c r="B22" s="218">
        <f t="shared" si="11"/>
        <v>1.0094658018246057</v>
      </c>
      <c r="C22" s="218">
        <f t="shared" si="11"/>
        <v>0.99753997539975392</v>
      </c>
      <c r="D22" s="218">
        <f t="shared" si="11"/>
        <v>0.99783080260303703</v>
      </c>
      <c r="E22" s="218">
        <f t="shared" si="11"/>
        <v>1</v>
      </c>
      <c r="F22" s="218">
        <f t="shared" si="11"/>
        <v>0.73684210526315796</v>
      </c>
      <c r="G22" s="218">
        <f t="shared" si="11"/>
        <v>0.99702380952380953</v>
      </c>
      <c r="H22" s="218">
        <f t="shared" si="11"/>
        <v>1.0061145080600333</v>
      </c>
    </row>
    <row r="23" spans="1:12">
      <c r="A23" s="36">
        <v>2015</v>
      </c>
      <c r="B23" s="218">
        <f t="shared" si="11"/>
        <v>1.006738931696487</v>
      </c>
      <c r="C23" s="218">
        <f t="shared" si="11"/>
        <v>1.0028183899947156</v>
      </c>
      <c r="D23" s="218">
        <f t="shared" si="11"/>
        <v>0.93260869565217386</v>
      </c>
      <c r="E23" s="218">
        <f t="shared" si="11"/>
        <v>0.85714285714285721</v>
      </c>
      <c r="F23" s="218">
        <f t="shared" si="11"/>
        <v>0.8571428571428571</v>
      </c>
      <c r="G23" s="218">
        <f t="shared" si="11"/>
        <v>0.9492537313432835</v>
      </c>
      <c r="H23" s="218">
        <f t="shared" si="11"/>
        <v>1</v>
      </c>
    </row>
    <row r="24" spans="1:12">
      <c r="A24" s="36">
        <v>2016</v>
      </c>
      <c r="B24" s="218">
        <f t="shared" si="11"/>
        <v>1.0023091093064889</v>
      </c>
      <c r="C24" s="218">
        <f t="shared" si="11"/>
        <v>0.98928508694888451</v>
      </c>
      <c r="D24" s="218">
        <f t="shared" si="11"/>
        <v>0.99533799533799538</v>
      </c>
      <c r="E24" s="218">
        <f t="shared" si="11"/>
        <v>1</v>
      </c>
      <c r="F24" s="218">
        <f t="shared" si="11"/>
        <v>1.5833333333333333</v>
      </c>
      <c r="G24" s="218">
        <f t="shared" si="11"/>
        <v>0.90566037735849059</v>
      </c>
      <c r="H24" s="218">
        <f t="shared" si="11"/>
        <v>1.0023020257826889</v>
      </c>
    </row>
    <row r="25" spans="1:12">
      <c r="A25" s="36">
        <v>2017</v>
      </c>
      <c r="B25" s="218">
        <f t="shared" si="11"/>
        <v>1.0081797473597016</v>
      </c>
      <c r="C25" s="218">
        <f t="shared" si="11"/>
        <v>1.0072798295454546</v>
      </c>
      <c r="D25" s="218">
        <f t="shared" si="11"/>
        <v>0.97658079625292737</v>
      </c>
      <c r="E25" s="218">
        <f t="shared" si="11"/>
        <v>1</v>
      </c>
      <c r="F25" s="218">
        <f t="shared" si="11"/>
        <v>1.2631578947368423</v>
      </c>
      <c r="G25" s="218">
        <f t="shared" si="11"/>
        <v>0.96180555555555547</v>
      </c>
      <c r="H25" s="218">
        <f t="shared" si="11"/>
        <v>1.0013780431786863</v>
      </c>
    </row>
    <row r="26" spans="1:12">
      <c r="A26" s="36">
        <v>2018</v>
      </c>
      <c r="B26" s="218">
        <f t="shared" si="11"/>
        <v>1.0101417274314473</v>
      </c>
      <c r="C26" s="218">
        <f t="shared" si="11"/>
        <v>0.99453551912568305</v>
      </c>
      <c r="D26" s="218">
        <f t="shared" si="11"/>
        <v>0.97841726618705038</v>
      </c>
      <c r="E26" s="218">
        <f t="shared" si="11"/>
        <v>1</v>
      </c>
      <c r="F26" s="218">
        <f t="shared" si="11"/>
        <v>1.1666666666666667</v>
      </c>
      <c r="G26" s="218">
        <f t="shared" si="11"/>
        <v>0.99638989169675096</v>
      </c>
      <c r="H26" s="218">
        <f t="shared" si="11"/>
        <v>0.9996330275229357</v>
      </c>
    </row>
    <row r="27" spans="1:12">
      <c r="A27" s="36">
        <v>2019</v>
      </c>
      <c r="B27" s="218">
        <f>B12/B11</f>
        <v>1.0071168950003813</v>
      </c>
      <c r="C27" s="218">
        <f t="shared" si="11"/>
        <v>0.99964551577454797</v>
      </c>
      <c r="D27" s="218">
        <f t="shared" si="11"/>
        <v>1.0294117647058822</v>
      </c>
      <c r="E27" s="218">
        <f t="shared" si="11"/>
        <v>1</v>
      </c>
      <c r="F27" s="218">
        <f t="shared" si="11"/>
        <v>1</v>
      </c>
      <c r="G27" s="218">
        <f t="shared" si="11"/>
        <v>1</v>
      </c>
      <c r="H27" s="218">
        <f t="shared" si="11"/>
        <v>0.99990822320117467</v>
      </c>
    </row>
    <row r="29" spans="1:12">
      <c r="A29" s="55" t="s">
        <v>94</v>
      </c>
      <c r="B29" s="218">
        <f>GEOMEAN(B19:B27)</f>
        <v>1.0080181907824499</v>
      </c>
      <c r="C29" s="218">
        <f>GEOMEAN(C19:C27)</f>
        <v>0.99789467456785097</v>
      </c>
      <c r="D29" s="218">
        <f>GEOMEAN(D19:D27)</f>
        <v>0.98618923993457785</v>
      </c>
      <c r="E29" s="218">
        <f>GEOMEAN(E19:E27)</f>
        <v>1</v>
      </c>
      <c r="F29" s="219"/>
      <c r="G29" s="219"/>
      <c r="H29" s="219"/>
    </row>
    <row r="30" spans="1:12">
      <c r="A30" s="200" t="s">
        <v>179</v>
      </c>
      <c r="B30" s="218"/>
      <c r="C30" s="218"/>
      <c r="D30" s="218"/>
      <c r="E30" s="218"/>
      <c r="F30" s="218">
        <v>1</v>
      </c>
      <c r="G30" s="218">
        <v>1</v>
      </c>
      <c r="H30" s="218">
        <v>1</v>
      </c>
    </row>
    <row r="31" spans="1:12">
      <c r="B31" s="54"/>
      <c r="C31" s="54"/>
      <c r="D31" s="54"/>
      <c r="E31" s="54"/>
      <c r="F31" s="54"/>
      <c r="G31" s="54"/>
      <c r="H31" s="54"/>
    </row>
    <row r="33" s="36" customFormat="1"/>
    <row r="34" s="36" customFormat="1"/>
    <row r="35" s="36" customFormat="1"/>
    <row r="36" s="36" customFormat="1"/>
    <row r="37" s="36" customFormat="1"/>
    <row r="38" s="36" customFormat="1"/>
    <row r="39" s="36" customFormat="1"/>
    <row r="40" s="36" customFormat="1"/>
    <row r="41" s="36" customFormat="1"/>
    <row r="42" s="36" customFormat="1"/>
    <row r="43" s="36" customFormat="1"/>
  </sheetData>
  <pageMargins left="0.7" right="0.7" top="0.75" bottom="0.75" header="0.3" footer="0.3"/>
  <legacy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S35"/>
  <sheetViews>
    <sheetView workbookViewId="0">
      <selection activeCell="M23" sqref="M23"/>
    </sheetView>
  </sheetViews>
  <sheetFormatPr defaultColWidth="8.58203125" defaultRowHeight="14.5"/>
  <cols>
    <col min="1" max="1" width="13.58203125" style="44" bestFit="1" customWidth="1"/>
    <col min="2" max="2" width="9.08203125" style="44" customWidth="1"/>
    <col min="3" max="3" width="8.08203125" style="44" customWidth="1"/>
    <col min="4" max="4" width="10.58203125" style="44" bestFit="1" customWidth="1"/>
    <col min="5" max="5" width="13.33203125" style="44" bestFit="1" customWidth="1"/>
    <col min="6" max="6" width="3.58203125" style="44" customWidth="1"/>
    <col min="7" max="7" width="7.08203125" style="44" bestFit="1" customWidth="1"/>
    <col min="8" max="8" width="9.83203125" style="44" bestFit="1" customWidth="1"/>
    <col min="9" max="9" width="8.58203125" style="44" bestFit="1" customWidth="1"/>
    <col min="10" max="10" width="8.58203125" style="44"/>
    <col min="11" max="11" width="10.83203125" style="44" bestFit="1" customWidth="1"/>
    <col min="12" max="13" width="8.58203125" style="44" bestFit="1" customWidth="1"/>
    <col min="14" max="14" width="10.58203125" style="44" bestFit="1" customWidth="1"/>
    <col min="15" max="15" width="13.33203125" style="44" bestFit="1" customWidth="1"/>
    <col min="16" max="16" width="3.58203125" style="44" bestFit="1" customWidth="1"/>
    <col min="17" max="17" width="7" style="44" bestFit="1" customWidth="1"/>
    <col min="18" max="18" width="9.83203125" style="44" bestFit="1" customWidth="1"/>
    <col min="19" max="19" width="9" style="44" bestFit="1" customWidth="1"/>
    <col min="20" max="16384" width="8.58203125" style="44"/>
  </cols>
  <sheetData>
    <row r="2" spans="1:19">
      <c r="A2" s="73" t="s">
        <v>95</v>
      </c>
      <c r="K2" s="73" t="s">
        <v>96</v>
      </c>
    </row>
    <row r="3" spans="1:19">
      <c r="A3" s="273"/>
      <c r="B3" s="348" t="s">
        <v>14</v>
      </c>
      <c r="C3" s="348" t="s">
        <v>48</v>
      </c>
      <c r="D3" s="274" t="s">
        <v>54</v>
      </c>
      <c r="E3" s="274" t="s">
        <v>55</v>
      </c>
      <c r="F3" s="274" t="s">
        <v>56</v>
      </c>
      <c r="G3" s="274" t="s">
        <v>57</v>
      </c>
      <c r="H3" s="275" t="s">
        <v>58</v>
      </c>
      <c r="I3" s="64" t="s">
        <v>32</v>
      </c>
      <c r="L3" s="3" t="s">
        <v>14</v>
      </c>
      <c r="M3" s="3" t="s">
        <v>48</v>
      </c>
      <c r="N3" s="3" t="s">
        <v>54</v>
      </c>
      <c r="O3" s="3" t="s">
        <v>55</v>
      </c>
      <c r="P3" s="3" t="s">
        <v>56</v>
      </c>
      <c r="Q3" s="3" t="s">
        <v>57</v>
      </c>
      <c r="R3" s="3" t="s">
        <v>58</v>
      </c>
      <c r="S3" s="64" t="s">
        <v>32</v>
      </c>
    </row>
    <row r="4" spans="1:19">
      <c r="A4" s="344">
        <v>2010</v>
      </c>
      <c r="B4" s="349"/>
      <c r="C4" s="349"/>
      <c r="D4" s="349">
        <v>61885.200000000012</v>
      </c>
      <c r="E4" s="349">
        <v>83976.04</v>
      </c>
      <c r="F4" s="349"/>
      <c r="G4" s="349">
        <v>87.726000000000013</v>
      </c>
      <c r="H4" s="349">
        <v>1964.4000000000003</v>
      </c>
      <c r="I4" s="66">
        <f>SUM(B4:H4)</f>
        <v>147913.36599999998</v>
      </c>
      <c r="K4" s="44">
        <v>2010</v>
      </c>
      <c r="L4" s="65"/>
      <c r="M4" s="65"/>
      <c r="N4" s="40">
        <f>'3a. Rate Class Energy Model'!M3</f>
        <v>20855253</v>
      </c>
      <c r="O4" s="40">
        <f>'3a. Rate Class Energy Model'!N3</f>
        <v>38077454.969999999</v>
      </c>
      <c r="P4" s="65"/>
      <c r="Q4" s="40">
        <f>'3a. Rate Class Energy Model'!P3</f>
        <v>31586.329999999994</v>
      </c>
      <c r="R4" s="40">
        <f>'3a. Rate Class Energy Model'!Q3</f>
        <v>719199</v>
      </c>
      <c r="S4" s="66">
        <f>SUM(L4:R4)</f>
        <v>59683493.299999997</v>
      </c>
    </row>
    <row r="5" spans="1:19">
      <c r="A5" s="344">
        <v>2011</v>
      </c>
      <c r="B5" s="349"/>
      <c r="C5" s="349"/>
      <c r="D5" s="349">
        <v>65743.399999999994</v>
      </c>
      <c r="E5" s="349">
        <v>86114.400000000009</v>
      </c>
      <c r="F5" s="349"/>
      <c r="G5" s="349">
        <v>80.488388888888892</v>
      </c>
      <c r="H5" s="349">
        <v>1963.4999999999995</v>
      </c>
      <c r="I5" s="66">
        <f t="shared" ref="I5:I15" si="0">SUM(B5:H5)</f>
        <v>153901.78838888888</v>
      </c>
      <c r="K5" s="44">
        <v>2011</v>
      </c>
      <c r="L5" s="65"/>
      <c r="M5" s="65"/>
      <c r="N5" s="40">
        <f>'3a. Rate Class Energy Model'!M4</f>
        <v>21357589</v>
      </c>
      <c r="O5" s="40">
        <f>'3a. Rate Class Energy Model'!N4</f>
        <v>39521514.93</v>
      </c>
      <c r="P5" s="65"/>
      <c r="Q5" s="40">
        <f>'3a. Rate Class Energy Model'!P4</f>
        <v>27611.850000000006</v>
      </c>
      <c r="R5" s="40">
        <f>'3a. Rate Class Energy Model'!Q4</f>
        <v>713388</v>
      </c>
      <c r="S5" s="66">
        <f t="shared" ref="S5:S15" si="1">SUM(L5:R5)</f>
        <v>61620103.780000001</v>
      </c>
    </row>
    <row r="6" spans="1:19">
      <c r="A6" s="344">
        <v>2012</v>
      </c>
      <c r="B6" s="349"/>
      <c r="C6" s="349"/>
      <c r="D6" s="349">
        <v>67820.399999999994</v>
      </c>
      <c r="E6" s="349">
        <v>89132.000000000015</v>
      </c>
      <c r="F6" s="349"/>
      <c r="G6" s="349">
        <v>72.48</v>
      </c>
      <c r="H6" s="349">
        <v>1963.1999999999996</v>
      </c>
      <c r="I6" s="66">
        <f t="shared" si="0"/>
        <v>158988.08000000005</v>
      </c>
      <c r="K6" s="44">
        <v>2012</v>
      </c>
      <c r="L6" s="65"/>
      <c r="M6" s="65"/>
      <c r="N6" s="40">
        <f>'3a. Rate Class Energy Model'!M5</f>
        <v>21917336.890000001</v>
      </c>
      <c r="O6" s="40">
        <f>'3a. Rate Class Energy Model'!N5</f>
        <v>42337528.850000001</v>
      </c>
      <c r="P6" s="65"/>
      <c r="Q6" s="40">
        <f>'3a. Rate Class Energy Model'!P5</f>
        <v>26092.800000000007</v>
      </c>
      <c r="R6" s="40">
        <f>'3a. Rate Class Energy Model'!Q5</f>
        <v>715663</v>
      </c>
      <c r="S6" s="66">
        <f t="shared" si="1"/>
        <v>64996621.539999999</v>
      </c>
    </row>
    <row r="7" spans="1:19">
      <c r="A7" s="344">
        <v>2013</v>
      </c>
      <c r="B7" s="349"/>
      <c r="C7" s="349"/>
      <c r="D7" s="349">
        <v>52256</v>
      </c>
      <c r="E7" s="349">
        <v>105091.5</v>
      </c>
      <c r="F7" s="349"/>
      <c r="G7" s="349">
        <v>72.48</v>
      </c>
      <c r="H7" s="349">
        <v>1979.6999999999996</v>
      </c>
      <c r="I7" s="66">
        <f t="shared" si="0"/>
        <v>159399.68000000002</v>
      </c>
      <c r="K7" s="44">
        <v>2013</v>
      </c>
      <c r="L7" s="65"/>
      <c r="M7" s="65"/>
      <c r="N7" s="40">
        <f>'3a. Rate Class Energy Model'!M6</f>
        <v>16562845.530000001</v>
      </c>
      <c r="O7" s="40">
        <f>'3a. Rate Class Energy Model'!N6</f>
        <v>49310777.399999991</v>
      </c>
      <c r="P7" s="65"/>
      <c r="Q7" s="40">
        <f>'3a. Rate Class Energy Model'!P6</f>
        <v>26092.800000000007</v>
      </c>
      <c r="R7" s="40">
        <f>'3a. Rate Class Energy Model'!Q6</f>
        <v>719239</v>
      </c>
      <c r="S7" s="66">
        <f t="shared" si="1"/>
        <v>66618954.729999989</v>
      </c>
    </row>
    <row r="8" spans="1:19">
      <c r="A8" s="344">
        <v>2014</v>
      </c>
      <c r="B8" s="349"/>
      <c r="C8" s="349"/>
      <c r="D8" s="349">
        <v>48273.4</v>
      </c>
      <c r="E8" s="349">
        <v>109682.1</v>
      </c>
      <c r="F8" s="349"/>
      <c r="G8" s="349">
        <v>70.580611111111111</v>
      </c>
      <c r="H8" s="349">
        <v>1983.3099999999997</v>
      </c>
      <c r="I8" s="66">
        <f t="shared" si="0"/>
        <v>160009.3906111111</v>
      </c>
      <c r="K8" s="44">
        <v>2014</v>
      </c>
      <c r="L8" s="65"/>
      <c r="M8" s="65"/>
      <c r="N8" s="40">
        <f>'3a. Rate Class Energy Model'!M7</f>
        <v>15962528.779999999</v>
      </c>
      <c r="O8" s="40">
        <f>'3a. Rate Class Energy Model'!N7</f>
        <v>50998403.280000001</v>
      </c>
      <c r="P8" s="65"/>
      <c r="Q8" s="40">
        <f>'3a. Rate Class Energy Model'!P7</f>
        <v>25409.019999999997</v>
      </c>
      <c r="R8" s="40">
        <f>'3a. Rate Class Energy Model'!Q7</f>
        <v>720792</v>
      </c>
      <c r="S8" s="66">
        <f t="shared" si="1"/>
        <v>67707133.080000013</v>
      </c>
    </row>
    <row r="9" spans="1:19">
      <c r="A9" s="344">
        <v>2015</v>
      </c>
      <c r="B9" s="349"/>
      <c r="C9" s="349"/>
      <c r="D9" s="349">
        <v>55778.200000000012</v>
      </c>
      <c r="E9" s="349">
        <v>99567.400000000009</v>
      </c>
      <c r="F9" s="349"/>
      <c r="G9" s="349">
        <v>69.674000000000007</v>
      </c>
      <c r="H9" s="349">
        <v>1983.5999999999997</v>
      </c>
      <c r="I9" s="66">
        <f t="shared" si="0"/>
        <v>157398.87400000004</v>
      </c>
      <c r="K9" s="44">
        <v>2015</v>
      </c>
      <c r="L9" s="65"/>
      <c r="M9" s="65"/>
      <c r="N9" s="40">
        <f>'3a. Rate Class Energy Model'!M8</f>
        <v>20081441.440000001</v>
      </c>
      <c r="O9" s="40">
        <f>'3a. Rate Class Energy Model'!N8</f>
        <v>47530354.799999997</v>
      </c>
      <c r="P9" s="65"/>
      <c r="Q9" s="40">
        <f>'3a. Rate Class Energy Model'!P8</f>
        <v>24838.850000000002</v>
      </c>
      <c r="R9" s="40">
        <f>'3a. Rate Class Energy Model'!Q8</f>
        <v>720792</v>
      </c>
      <c r="S9" s="66">
        <f t="shared" si="1"/>
        <v>68357427.089999989</v>
      </c>
    </row>
    <row r="10" spans="1:19">
      <c r="A10" s="344">
        <v>2016</v>
      </c>
      <c r="B10" s="349"/>
      <c r="C10" s="349"/>
      <c r="D10" s="349">
        <v>55435.900000000009</v>
      </c>
      <c r="E10" s="349">
        <v>96818.1</v>
      </c>
      <c r="F10" s="349"/>
      <c r="G10" s="349">
        <v>61.269333333333336</v>
      </c>
      <c r="H10" s="349">
        <v>1984.2000000000005</v>
      </c>
      <c r="I10" s="66">
        <f t="shared" si="0"/>
        <v>154299.46933333334</v>
      </c>
      <c r="K10" s="44">
        <v>2016</v>
      </c>
      <c r="L10" s="65"/>
      <c r="M10" s="65"/>
      <c r="N10" s="40">
        <f>'3a. Rate Class Energy Model'!M9</f>
        <v>19893743.399999999</v>
      </c>
      <c r="O10" s="40">
        <f>'3a. Rate Class Energy Model'!N9</f>
        <v>45496516.099999994</v>
      </c>
      <c r="P10" s="65"/>
      <c r="Q10" s="40">
        <f>'3a. Rate Class Energy Model'!P9</f>
        <v>22056.959999999995</v>
      </c>
      <c r="R10" s="40">
        <f>'3a. Rate Class Energy Model'!Q9</f>
        <v>723427</v>
      </c>
      <c r="S10" s="66">
        <f t="shared" si="1"/>
        <v>66135743.459999993</v>
      </c>
    </row>
    <row r="11" spans="1:19">
      <c r="A11" s="344">
        <v>2017</v>
      </c>
      <c r="B11" s="349"/>
      <c r="C11" s="349"/>
      <c r="D11" s="349">
        <v>53405.200000000004</v>
      </c>
      <c r="E11" s="349">
        <v>98592</v>
      </c>
      <c r="F11" s="349"/>
      <c r="G11" s="349">
        <v>54.648000000000017</v>
      </c>
      <c r="H11" s="349">
        <v>1920.3999999999999</v>
      </c>
      <c r="I11" s="66">
        <f t="shared" si="0"/>
        <v>153972.24799999999</v>
      </c>
      <c r="K11" s="44">
        <v>2017</v>
      </c>
      <c r="L11" s="65"/>
      <c r="M11" s="65"/>
      <c r="N11" s="40">
        <f>'3a. Rate Class Energy Model'!M10</f>
        <v>19029613.010000002</v>
      </c>
      <c r="O11" s="40">
        <f>'3a. Rate Class Energy Model'!N10</f>
        <v>45750527.200000003</v>
      </c>
      <c r="P11" s="65"/>
      <c r="Q11" s="40">
        <f>'3a. Rate Class Energy Model'!P10</f>
        <v>19673.28</v>
      </c>
      <c r="R11" s="40">
        <f>'3a. Rate Class Energy Model'!Q10</f>
        <v>697359.11999999988</v>
      </c>
      <c r="S11" s="66">
        <f t="shared" si="1"/>
        <v>65497172.610000007</v>
      </c>
    </row>
    <row r="12" spans="1:19">
      <c r="A12" s="344">
        <v>2018</v>
      </c>
      <c r="B12" s="349"/>
      <c r="C12" s="349"/>
      <c r="D12" s="349">
        <v>52914.899999999994</v>
      </c>
      <c r="E12" s="349">
        <v>98024.8</v>
      </c>
      <c r="F12" s="349"/>
      <c r="G12" s="349">
        <v>54.648000000000017</v>
      </c>
      <c r="H12" s="349">
        <v>1902</v>
      </c>
      <c r="I12" s="66">
        <f t="shared" si="0"/>
        <v>152896.348</v>
      </c>
      <c r="K12" s="44">
        <v>2018</v>
      </c>
      <c r="L12" s="65"/>
      <c r="M12" s="65"/>
      <c r="N12" s="40">
        <f>'3a. Rate Class Energy Model'!M11</f>
        <v>18305428.530000001</v>
      </c>
      <c r="O12" s="40">
        <f>'3a. Rate Class Energy Model'!N11</f>
        <v>43913955.700000003</v>
      </c>
      <c r="P12" s="65"/>
      <c r="Q12" s="40">
        <f>'3a. Rate Class Energy Model'!P11</f>
        <v>19673.28</v>
      </c>
      <c r="R12" s="40">
        <f>'3a. Rate Class Energy Model'!Q11</f>
        <v>691015.42999999993</v>
      </c>
      <c r="S12" s="66">
        <f t="shared" si="1"/>
        <v>62930072.940000005</v>
      </c>
    </row>
    <row r="13" spans="1:19">
      <c r="A13" s="345">
        <v>2019</v>
      </c>
      <c r="B13" s="349"/>
      <c r="C13" s="349"/>
      <c r="D13" s="349">
        <v>51684.799999999988</v>
      </c>
      <c r="E13" s="349">
        <v>96230.2</v>
      </c>
      <c r="F13" s="349"/>
      <c r="G13" s="349">
        <v>54.640000000000008</v>
      </c>
      <c r="H13" s="349">
        <v>1810.1</v>
      </c>
      <c r="I13" s="66">
        <f t="shared" si="0"/>
        <v>149779.74000000002</v>
      </c>
      <c r="K13" s="44">
        <v>2019</v>
      </c>
      <c r="L13" s="65"/>
      <c r="M13" s="65"/>
      <c r="N13" s="40">
        <f>'3a. Rate Class Energy Model'!M12</f>
        <v>18739879.539999999</v>
      </c>
      <c r="O13" s="40">
        <f>'3a. Rate Class Energy Model'!N12</f>
        <v>42766148</v>
      </c>
      <c r="P13" s="65"/>
      <c r="Q13" s="40">
        <f>'3a. Rate Class Energy Model'!P12</f>
        <v>19673.28</v>
      </c>
      <c r="R13" s="40">
        <f>'3a. Rate Class Energy Model'!Q12</f>
        <v>650270.32999999996</v>
      </c>
      <c r="S13" s="66">
        <f t="shared" si="1"/>
        <v>62175971.149999999</v>
      </c>
    </row>
    <row r="14" spans="1:19">
      <c r="A14" s="346" t="s">
        <v>214</v>
      </c>
      <c r="B14" s="350"/>
      <c r="C14" s="350"/>
      <c r="D14" s="350">
        <f>N14*D$33</f>
        <v>56087.492224635505</v>
      </c>
      <c r="E14" s="350">
        <f>O14*E$33</f>
        <v>92889.718770175605</v>
      </c>
      <c r="F14" s="350"/>
      <c r="G14" s="350">
        <f>Q14*G$33</f>
        <v>54.753672566322521</v>
      </c>
      <c r="H14" s="350">
        <f>'5d. Streetlights LED Conv'!C17</f>
        <v>632.47200000000009</v>
      </c>
      <c r="I14" s="69">
        <f t="shared" si="0"/>
        <v>149664.43666737745</v>
      </c>
      <c r="K14" s="67">
        <v>2020</v>
      </c>
      <c r="L14" s="100"/>
      <c r="M14" s="100"/>
      <c r="N14" s="68">
        <f>'3a. Rate Class Energy Model'!M52</f>
        <v>20003665.693381749</v>
      </c>
      <c r="O14" s="68">
        <f>'3a. Rate Class Energy Model'!N52</f>
        <v>42766148</v>
      </c>
      <c r="P14" s="100"/>
      <c r="Q14" s="68">
        <f>'3a. Rate Class Energy Model'!P52</f>
        <v>19673.28</v>
      </c>
      <c r="R14" s="68">
        <f>'3a. Rate Class Energy Model'!Q52</f>
        <v>229832.84868997012</v>
      </c>
      <c r="S14" s="69">
        <f t="shared" si="1"/>
        <v>63019319.822071724</v>
      </c>
    </row>
    <row r="15" spans="1:19">
      <c r="A15" s="346" t="s">
        <v>215</v>
      </c>
      <c r="B15" s="351"/>
      <c r="C15" s="351"/>
      <c r="D15" s="351">
        <f>N15*D$33</f>
        <v>55914.982723953173</v>
      </c>
      <c r="E15" s="351">
        <f>O15*E$33</f>
        <v>92889.718770175605</v>
      </c>
      <c r="F15" s="351"/>
      <c r="G15" s="351">
        <f>Q15*G$33</f>
        <v>54.753672566322521</v>
      </c>
      <c r="H15" s="351">
        <f>'5d. Streetlights LED Conv'!C17</f>
        <v>632.47200000000009</v>
      </c>
      <c r="I15" s="72">
        <f t="shared" si="0"/>
        <v>149491.92716669512</v>
      </c>
      <c r="K15" s="70">
        <v>2021</v>
      </c>
      <c r="L15" s="101"/>
      <c r="M15" s="101"/>
      <c r="N15" s="71">
        <f>'3a. Rate Class Energy Model'!M53</f>
        <v>19942139.990525208</v>
      </c>
      <c r="O15" s="71">
        <f>'3a. Rate Class Energy Model'!N53</f>
        <v>42766148</v>
      </c>
      <c r="P15" s="101"/>
      <c r="Q15" s="71">
        <f>'3a. Rate Class Energy Model'!P53</f>
        <v>19673.28</v>
      </c>
      <c r="R15" s="71">
        <f>'3a. Rate Class Energy Model'!Q53</f>
        <v>229832.84868997012</v>
      </c>
      <c r="S15" s="72">
        <f t="shared" si="1"/>
        <v>62957794.119215183</v>
      </c>
    </row>
    <row r="19" spans="1:8">
      <c r="A19" s="73" t="s">
        <v>213</v>
      </c>
    </row>
    <row r="20" spans="1:8">
      <c r="A20" s="44">
        <v>2010</v>
      </c>
      <c r="D20" s="74">
        <f>D4/N4</f>
        <v>2.9673675020868849E-3</v>
      </c>
      <c r="E20" s="74">
        <f>E4/O4</f>
        <v>2.2054005464956102E-3</v>
      </c>
      <c r="F20" s="45"/>
      <c r="G20" s="74">
        <f>G4/Q4</f>
        <v>2.7773407040324097E-3</v>
      </c>
      <c r="H20" s="74">
        <f>H4/R4</f>
        <v>2.731371984666275E-3</v>
      </c>
    </row>
    <row r="21" spans="1:8">
      <c r="A21" s="44">
        <v>2011</v>
      </c>
      <c r="D21" s="74">
        <f t="shared" ref="D21:D29" si="2">D5/N5</f>
        <v>3.0782219847006135E-3</v>
      </c>
      <c r="E21" s="74">
        <f t="shared" ref="E21:E29" si="3">E5/O5</f>
        <v>2.1789245719078514E-3</v>
      </c>
      <c r="F21" s="45"/>
      <c r="G21" s="74">
        <f t="shared" ref="G21:G29" si="4">G5/Q5</f>
        <v>2.9149944277145094E-3</v>
      </c>
      <c r="H21" s="74">
        <f t="shared" ref="H21:H29" si="5">H5/R5</f>
        <v>2.7523591649985697E-3</v>
      </c>
    </row>
    <row r="22" spans="1:8">
      <c r="A22" s="44">
        <v>2012</v>
      </c>
      <c r="D22" s="74">
        <f t="shared" si="2"/>
        <v>3.0943722926001886E-3</v>
      </c>
      <c r="E22" s="74">
        <f t="shared" si="3"/>
        <v>2.1052716684478862E-3</v>
      </c>
      <c r="F22" s="45"/>
      <c r="G22" s="74">
        <f t="shared" si="4"/>
        <v>2.777777777777777E-3</v>
      </c>
      <c r="H22" s="74">
        <f t="shared" si="5"/>
        <v>2.7431905799237904E-3</v>
      </c>
    </row>
    <row r="23" spans="1:8">
      <c r="A23" s="44">
        <v>2013</v>
      </c>
      <c r="D23" s="74">
        <f t="shared" si="2"/>
        <v>3.1550134247976648E-3</v>
      </c>
      <c r="E23" s="74">
        <f t="shared" si="3"/>
        <v>2.1312075278699626E-3</v>
      </c>
      <c r="F23" s="45"/>
      <c r="G23" s="74">
        <f t="shared" si="4"/>
        <v>2.777777777777777E-3</v>
      </c>
      <c r="H23" s="74">
        <f t="shared" si="5"/>
        <v>2.7524925650583456E-3</v>
      </c>
    </row>
    <row r="24" spans="1:8">
      <c r="A24" s="44">
        <v>2014</v>
      </c>
      <c r="D24" s="74">
        <f t="shared" si="2"/>
        <v>3.0241699586147906E-3</v>
      </c>
      <c r="E24" s="74">
        <f t="shared" si="3"/>
        <v>2.1506967462844848E-3</v>
      </c>
      <c r="F24" s="45"/>
      <c r="G24" s="74">
        <f t="shared" si="4"/>
        <v>2.7777777777777783E-3</v>
      </c>
      <c r="H24" s="74">
        <f t="shared" si="5"/>
        <v>2.7515704946780759E-3</v>
      </c>
    </row>
    <row r="25" spans="1:8">
      <c r="A25" s="44">
        <v>2015</v>
      </c>
      <c r="D25" s="74">
        <f t="shared" si="2"/>
        <v>2.777599415194172E-3</v>
      </c>
      <c r="E25" s="74">
        <f t="shared" si="3"/>
        <v>2.0948170999135905E-3</v>
      </c>
      <c r="F25" s="45"/>
      <c r="G25" s="74">
        <f t="shared" si="4"/>
        <v>2.8050412961952748E-3</v>
      </c>
      <c r="H25" s="74">
        <f t="shared" si="5"/>
        <v>2.7519728298871235E-3</v>
      </c>
    </row>
    <row r="26" spans="1:8">
      <c r="A26" s="44">
        <v>2016</v>
      </c>
      <c r="D26" s="74">
        <f t="shared" si="2"/>
        <v>2.7865997306469738E-3</v>
      </c>
      <c r="E26" s="74">
        <f t="shared" si="3"/>
        <v>2.1280332715409834E-3</v>
      </c>
      <c r="F26" s="45"/>
      <c r="G26" s="74">
        <f t="shared" si="4"/>
        <v>2.7777777777777783E-3</v>
      </c>
      <c r="H26" s="74">
        <f t="shared" si="5"/>
        <v>2.7427784697004682E-3</v>
      </c>
    </row>
    <row r="27" spans="1:8">
      <c r="A27" s="44">
        <v>2017</v>
      </c>
      <c r="D27" s="74">
        <f t="shared" si="2"/>
        <v>2.8064259621010546E-3</v>
      </c>
      <c r="E27" s="74">
        <f t="shared" si="3"/>
        <v>2.1549915604032644E-3</v>
      </c>
      <c r="F27" s="45"/>
      <c r="G27" s="74">
        <f t="shared" si="4"/>
        <v>2.7777777777777788E-3</v>
      </c>
      <c r="H27" s="74">
        <f t="shared" si="5"/>
        <v>2.7538178607314982E-3</v>
      </c>
    </row>
    <row r="28" spans="1:8">
      <c r="A28" s="44">
        <v>2018</v>
      </c>
      <c r="D28" s="74">
        <f t="shared" si="2"/>
        <v>2.8906670998321607E-3</v>
      </c>
      <c r="E28" s="74">
        <f t="shared" si="3"/>
        <v>2.2322015504515342E-3</v>
      </c>
      <c r="F28" s="45"/>
      <c r="G28" s="74">
        <f t="shared" si="4"/>
        <v>2.7777777777777788E-3</v>
      </c>
      <c r="H28" s="74">
        <f t="shared" si="5"/>
        <v>2.7524710989449254E-3</v>
      </c>
    </row>
    <row r="29" spans="1:8">
      <c r="A29" s="44">
        <v>2019</v>
      </c>
      <c r="D29" s="74">
        <f t="shared" si="2"/>
        <v>2.7580113249756778E-3</v>
      </c>
      <c r="E29" s="74">
        <f t="shared" si="3"/>
        <v>2.2501488794361372E-3</v>
      </c>
      <c r="F29" s="45"/>
      <c r="G29" s="74">
        <f t="shared" si="4"/>
        <v>2.7773711348590582E-3</v>
      </c>
      <c r="H29" s="74">
        <f t="shared" si="5"/>
        <v>2.7836115481387562E-3</v>
      </c>
    </row>
    <row r="31" spans="1:8">
      <c r="A31" s="76" t="s">
        <v>97</v>
      </c>
      <c r="B31" s="76"/>
      <c r="C31" s="76"/>
      <c r="D31" s="77">
        <f>AVERAGE(D20:D29)</f>
        <v>2.9338448695550184E-3</v>
      </c>
      <c r="E31" s="77">
        <f>AVERAGE(E20:E29)</f>
        <v>2.1631693422751305E-3</v>
      </c>
      <c r="F31" s="77"/>
      <c r="G31" s="77">
        <f>AVERAGE(G20:G29)</f>
        <v>2.7941414229467917E-3</v>
      </c>
      <c r="H31" s="77">
        <f>AVERAGE(H20:H29)</f>
        <v>2.7515636596727828E-3</v>
      </c>
    </row>
    <row r="33" spans="1:9">
      <c r="A33" s="44" t="s">
        <v>98</v>
      </c>
      <c r="D33" s="75">
        <f>AVERAGE(D25:D29)</f>
        <v>2.8038607065500078E-3</v>
      </c>
      <c r="E33" s="75">
        <f>AVERAGE(E25:E29)</f>
        <v>2.1720384723491019E-3</v>
      </c>
      <c r="F33" s="75"/>
      <c r="G33" s="75">
        <f>AVERAGE(G25:G29)</f>
        <v>2.7831491528775335E-3</v>
      </c>
      <c r="H33" s="75">
        <f>AVERAGE(H25:H29)</f>
        <v>2.7569303614805546E-3</v>
      </c>
      <c r="I33" s="277" t="s">
        <v>212</v>
      </c>
    </row>
    <row r="35" spans="1:9">
      <c r="D35" s="75"/>
      <c r="E35" s="75"/>
      <c r="F35" s="75"/>
      <c r="G35" s="75"/>
      <c r="H35" s="75"/>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48"/>
  <sheetViews>
    <sheetView workbookViewId="0">
      <pane xSplit="2" ySplit="1" topLeftCell="C2" activePane="bottomRight" state="frozen"/>
      <selection pane="topRight" activeCell="C1" sqref="C1"/>
      <selection pane="bottomLeft" activeCell="A2" sqref="A2"/>
      <selection pane="bottomRight"/>
    </sheetView>
  </sheetViews>
  <sheetFormatPr defaultColWidth="8.58203125" defaultRowHeight="14.5"/>
  <cols>
    <col min="1" max="1" width="8.58203125" style="2"/>
    <col min="2" max="2" width="11.08203125" style="2" customWidth="1"/>
    <col min="3" max="4" width="11.08203125" style="2" bestFit="1" customWidth="1"/>
    <col min="5" max="6" width="8.58203125" style="11"/>
    <col min="7" max="7" width="8.58203125" style="4"/>
    <col min="8" max="8" width="10.33203125" style="4" bestFit="1" customWidth="1"/>
    <col min="9" max="9" width="10.33203125" style="2" bestFit="1" customWidth="1"/>
    <col min="10" max="16" width="10.33203125" style="4" bestFit="1" customWidth="1"/>
    <col min="17" max="17" width="10.58203125" style="4" customWidth="1"/>
    <col min="18" max="18" width="10.33203125" style="37" customWidth="1"/>
    <col min="19" max="19" width="8.58203125" style="2"/>
    <col min="20" max="20" width="14.08203125" style="39" customWidth="1"/>
    <col min="21" max="21" width="14.5" style="4" customWidth="1"/>
    <col min="22" max="22" width="8.58203125" style="21"/>
    <col min="23" max="16384" width="8.58203125" style="4"/>
  </cols>
  <sheetData>
    <row r="1" spans="1:22" s="41" customFormat="1" ht="58">
      <c r="A1" s="41" t="s">
        <v>0</v>
      </c>
      <c r="B1" s="130" t="s">
        <v>1</v>
      </c>
      <c r="C1" s="41" t="s">
        <v>15</v>
      </c>
      <c r="D1" s="130" t="s">
        <v>46</v>
      </c>
      <c r="E1" s="41" t="s">
        <v>16</v>
      </c>
      <c r="F1" s="41" t="s">
        <v>17</v>
      </c>
      <c r="G1" s="41" t="s">
        <v>68</v>
      </c>
      <c r="H1" s="130" t="s">
        <v>77</v>
      </c>
      <c r="I1" s="42" t="s">
        <v>78</v>
      </c>
      <c r="J1" s="130" t="s">
        <v>69</v>
      </c>
      <c r="K1" s="130" t="s">
        <v>143</v>
      </c>
      <c r="L1" s="130" t="s">
        <v>70</v>
      </c>
      <c r="M1" s="130" t="s">
        <v>71</v>
      </c>
      <c r="N1" s="130" t="s">
        <v>72</v>
      </c>
      <c r="O1" s="130" t="s">
        <v>73</v>
      </c>
      <c r="P1" s="130" t="s">
        <v>74</v>
      </c>
      <c r="Q1" s="130" t="s">
        <v>82</v>
      </c>
      <c r="R1" s="130" t="s">
        <v>138</v>
      </c>
      <c r="S1" s="130" t="s">
        <v>144</v>
      </c>
      <c r="T1" s="39" t="s">
        <v>148</v>
      </c>
      <c r="V1" s="43" t="s">
        <v>80</v>
      </c>
    </row>
    <row r="2" spans="1:22">
      <c r="A2" s="2">
        <v>2010</v>
      </c>
      <c r="B2" s="2" t="s">
        <v>2</v>
      </c>
      <c r="C2" s="9">
        <v>791.5</v>
      </c>
      <c r="D2" s="9">
        <v>0</v>
      </c>
      <c r="E2" s="11">
        <v>31</v>
      </c>
      <c r="F2" s="12">
        <v>320</v>
      </c>
      <c r="G2" s="2">
        <v>0</v>
      </c>
      <c r="H2" s="128">
        <v>114.5</v>
      </c>
      <c r="I2" s="33">
        <v>633.6</v>
      </c>
      <c r="J2" s="7">
        <f>'5c. Customer Count-Connections'!C3</f>
        <v>3058</v>
      </c>
      <c r="K2" s="7">
        <f>'5c. Customer Count-Connections'!D3</f>
        <v>481</v>
      </c>
      <c r="L2" s="7">
        <f>'5c. Customer Count-Connections'!E3</f>
        <v>42</v>
      </c>
      <c r="M2" s="7">
        <f>'5c. Customer Count-Connections'!F3</f>
        <v>5</v>
      </c>
      <c r="N2" s="7">
        <f>'5c. Customer Count-Connections'!G3</f>
        <v>1</v>
      </c>
      <c r="O2" s="7">
        <f>'5c. Customer Count-Connections'!H3</f>
        <v>28</v>
      </c>
      <c r="P2" s="7">
        <f>'5c. Customer Count-Connections'!I3</f>
        <v>900</v>
      </c>
      <c r="Q2" s="7">
        <f>SUM(J2:P2)</f>
        <v>4515</v>
      </c>
      <c r="R2" s="39">
        <v>3487295.6334580001</v>
      </c>
      <c r="S2" s="2">
        <v>1</v>
      </c>
      <c r="T2" s="39">
        <v>132355.9047358782</v>
      </c>
      <c r="V2" s="21">
        <v>1</v>
      </c>
    </row>
    <row r="3" spans="1:22">
      <c r="A3" s="2">
        <v>2010</v>
      </c>
      <c r="B3" s="2" t="s">
        <v>3</v>
      </c>
      <c r="C3" s="9">
        <v>680.1</v>
      </c>
      <c r="D3" s="9">
        <v>0</v>
      </c>
      <c r="E3" s="11">
        <v>28</v>
      </c>
      <c r="F3" s="12">
        <v>304</v>
      </c>
      <c r="G3" s="2">
        <v>0</v>
      </c>
      <c r="H3" s="128">
        <v>115.1</v>
      </c>
      <c r="I3" s="33">
        <v>630.5</v>
      </c>
      <c r="J3" s="7">
        <f>'5c. Customer Count-Connections'!C4</f>
        <v>3061</v>
      </c>
      <c r="K3" s="7">
        <f>'5c. Customer Count-Connections'!D4</f>
        <v>480</v>
      </c>
      <c r="L3" s="7">
        <f>'5c. Customer Count-Connections'!E4</f>
        <v>42</v>
      </c>
      <c r="M3" s="7">
        <f>'5c. Customer Count-Connections'!F4</f>
        <v>5</v>
      </c>
      <c r="N3" s="7">
        <f>'5c. Customer Count-Connections'!G4</f>
        <v>1</v>
      </c>
      <c r="O3" s="7">
        <f>'5c. Customer Count-Connections'!H4</f>
        <v>28</v>
      </c>
      <c r="P3" s="7">
        <f>'5c. Customer Count-Connections'!I4</f>
        <v>900</v>
      </c>
      <c r="Q3" s="7">
        <f t="shared" ref="Q3:Q66" si="0">SUM(J3:P3)</f>
        <v>4517</v>
      </c>
      <c r="R3" s="39">
        <v>3203840.5107670003</v>
      </c>
      <c r="S3" s="2">
        <v>2</v>
      </c>
      <c r="T3" s="39">
        <v>131088.42630007651</v>
      </c>
      <c r="V3" s="21">
        <v>2</v>
      </c>
    </row>
    <row r="4" spans="1:22">
      <c r="A4" s="2">
        <v>2010</v>
      </c>
      <c r="B4" s="2" t="s">
        <v>4</v>
      </c>
      <c r="C4" s="9">
        <v>504.69999999999987</v>
      </c>
      <c r="D4" s="9">
        <v>0</v>
      </c>
      <c r="E4" s="11">
        <v>31</v>
      </c>
      <c r="F4" s="12">
        <v>368</v>
      </c>
      <c r="G4" s="2">
        <v>1</v>
      </c>
      <c r="H4" s="128">
        <v>115.3</v>
      </c>
      <c r="I4" s="33">
        <v>627.5</v>
      </c>
      <c r="J4" s="7">
        <f>'5c. Customer Count-Connections'!C5</f>
        <v>3061</v>
      </c>
      <c r="K4" s="7">
        <f>'5c. Customer Count-Connections'!D5</f>
        <v>473</v>
      </c>
      <c r="L4" s="7">
        <f>'5c. Customer Count-Connections'!E5</f>
        <v>42</v>
      </c>
      <c r="M4" s="7">
        <f>'5c. Customer Count-Connections'!F5</f>
        <v>5</v>
      </c>
      <c r="N4" s="7">
        <f>'5c. Customer Count-Connections'!G5</f>
        <v>1</v>
      </c>
      <c r="O4" s="7">
        <f>'5c. Customer Count-Connections'!H5</f>
        <v>28</v>
      </c>
      <c r="P4" s="7">
        <f>'5c. Customer Count-Connections'!I5</f>
        <v>900</v>
      </c>
      <c r="Q4" s="7">
        <f t="shared" si="0"/>
        <v>4510</v>
      </c>
      <c r="R4" s="39">
        <v>3646819.0608330001</v>
      </c>
      <c r="S4" s="2">
        <v>3</v>
      </c>
      <c r="T4" s="39">
        <v>129820.94786427479</v>
      </c>
      <c r="V4" s="21">
        <v>3</v>
      </c>
    </row>
    <row r="5" spans="1:22">
      <c r="A5" s="2">
        <v>2010</v>
      </c>
      <c r="B5" s="2" t="s">
        <v>5</v>
      </c>
      <c r="C5" s="9">
        <v>273.20000000000005</v>
      </c>
      <c r="D5" s="9">
        <v>1</v>
      </c>
      <c r="E5" s="11">
        <v>30</v>
      </c>
      <c r="F5" s="12">
        <v>320</v>
      </c>
      <c r="G5" s="2">
        <v>1</v>
      </c>
      <c r="H5" s="128">
        <v>115.8</v>
      </c>
      <c r="I5" s="33">
        <v>631.6</v>
      </c>
      <c r="J5" s="7">
        <f>'5c. Customer Count-Connections'!C6</f>
        <v>3067</v>
      </c>
      <c r="K5" s="7">
        <f>'5c. Customer Count-Connections'!D6</f>
        <v>477</v>
      </c>
      <c r="L5" s="7">
        <f>'5c. Customer Count-Connections'!E6</f>
        <v>42</v>
      </c>
      <c r="M5" s="7">
        <f>'5c. Customer Count-Connections'!F6</f>
        <v>5</v>
      </c>
      <c r="N5" s="7">
        <f>'5c. Customer Count-Connections'!G6</f>
        <v>1</v>
      </c>
      <c r="O5" s="7">
        <f>'5c. Customer Count-Connections'!H6</f>
        <v>28</v>
      </c>
      <c r="P5" s="7">
        <f>'5c. Customer Count-Connections'!I6</f>
        <v>900</v>
      </c>
      <c r="Q5" s="7">
        <f t="shared" si="0"/>
        <v>4520</v>
      </c>
      <c r="R5" s="39">
        <v>3531302.5569770001</v>
      </c>
      <c r="S5" s="2">
        <v>4</v>
      </c>
      <c r="T5" s="39">
        <v>128553.46942847309</v>
      </c>
      <c r="V5" s="21">
        <v>4</v>
      </c>
    </row>
    <row r="6" spans="1:22">
      <c r="A6" s="2">
        <v>2010</v>
      </c>
      <c r="B6" s="2" t="s">
        <v>6</v>
      </c>
      <c r="C6" s="9">
        <v>148.19999999999996</v>
      </c>
      <c r="D6" s="9">
        <v>24</v>
      </c>
      <c r="E6" s="11">
        <v>31</v>
      </c>
      <c r="F6" s="12">
        <v>320</v>
      </c>
      <c r="G6" s="2">
        <v>1</v>
      </c>
      <c r="H6" s="128">
        <v>116.3</v>
      </c>
      <c r="I6" s="33">
        <v>641.5</v>
      </c>
      <c r="J6" s="7">
        <f>'5c. Customer Count-Connections'!C7</f>
        <v>3076</v>
      </c>
      <c r="K6" s="7">
        <f>'5c. Customer Count-Connections'!D7</f>
        <v>479</v>
      </c>
      <c r="L6" s="7">
        <f>'5c. Customer Count-Connections'!E7</f>
        <v>42</v>
      </c>
      <c r="M6" s="7">
        <f>'5c. Customer Count-Connections'!F7</f>
        <v>5</v>
      </c>
      <c r="N6" s="7">
        <f>'5c. Customer Count-Connections'!G7</f>
        <v>1</v>
      </c>
      <c r="O6" s="7">
        <f>'5c. Customer Count-Connections'!H7</f>
        <v>28</v>
      </c>
      <c r="P6" s="7">
        <f>'5c. Customer Count-Connections'!I7</f>
        <v>900</v>
      </c>
      <c r="Q6" s="7">
        <f t="shared" si="0"/>
        <v>4531</v>
      </c>
      <c r="R6" s="39">
        <v>3786484.3631810001</v>
      </c>
      <c r="S6" s="2">
        <v>5</v>
      </c>
      <c r="T6" s="39">
        <v>127285.99099267139</v>
      </c>
      <c r="V6" s="21">
        <v>5</v>
      </c>
    </row>
    <row r="7" spans="1:22">
      <c r="A7" s="2">
        <v>2010</v>
      </c>
      <c r="B7" s="2" t="s">
        <v>7</v>
      </c>
      <c r="C7" s="9">
        <v>55.233333333333327</v>
      </c>
      <c r="D7" s="9">
        <v>18.7</v>
      </c>
      <c r="E7" s="11">
        <v>30</v>
      </c>
      <c r="F7" s="12">
        <v>352</v>
      </c>
      <c r="G7" s="2">
        <v>0</v>
      </c>
      <c r="H7" s="128">
        <v>116.1</v>
      </c>
      <c r="I7" s="33">
        <v>657.2</v>
      </c>
      <c r="J7" s="7">
        <f>'5c. Customer Count-Connections'!C8</f>
        <v>3072</v>
      </c>
      <c r="K7" s="7">
        <f>'5c. Customer Count-Connections'!D8</f>
        <v>482</v>
      </c>
      <c r="L7" s="7">
        <f>'5c. Customer Count-Connections'!E8</f>
        <v>39</v>
      </c>
      <c r="M7" s="7">
        <f>'5c. Customer Count-Connections'!F8</f>
        <v>5</v>
      </c>
      <c r="N7" s="7">
        <f>'5c. Customer Count-Connections'!G8</f>
        <v>1</v>
      </c>
      <c r="O7" s="7">
        <f>'5c. Customer Count-Connections'!H8</f>
        <v>28</v>
      </c>
      <c r="P7" s="7">
        <f>'5c. Customer Count-Connections'!I8</f>
        <v>900</v>
      </c>
      <c r="Q7" s="7">
        <f t="shared" si="0"/>
        <v>4527</v>
      </c>
      <c r="R7" s="39">
        <v>3861171.0436650002</v>
      </c>
      <c r="S7" s="2">
        <v>6</v>
      </c>
      <c r="T7" s="39">
        <v>126018.51255686968</v>
      </c>
      <c r="V7" s="21">
        <v>6</v>
      </c>
    </row>
    <row r="8" spans="1:22">
      <c r="A8" s="2">
        <v>2010</v>
      </c>
      <c r="B8" s="2" t="s">
        <v>8</v>
      </c>
      <c r="C8" s="9">
        <v>12.7</v>
      </c>
      <c r="D8" s="9">
        <v>89.7</v>
      </c>
      <c r="E8" s="11">
        <v>31</v>
      </c>
      <c r="F8" s="12">
        <v>336</v>
      </c>
      <c r="G8" s="2">
        <v>0</v>
      </c>
      <c r="H8" s="128">
        <v>117.1</v>
      </c>
      <c r="I8" s="33">
        <v>669.8</v>
      </c>
      <c r="J8" s="7">
        <f>'5c. Customer Count-Connections'!C9</f>
        <v>3074</v>
      </c>
      <c r="K8" s="7">
        <f>'5c. Customer Count-Connections'!D9</f>
        <v>485</v>
      </c>
      <c r="L8" s="7">
        <f>'5c. Customer Count-Connections'!E9</f>
        <v>37</v>
      </c>
      <c r="M8" s="7">
        <f>'5c. Customer Count-Connections'!F9</f>
        <v>5</v>
      </c>
      <c r="N8" s="7">
        <f>'5c. Customer Count-Connections'!G9</f>
        <v>1</v>
      </c>
      <c r="O8" s="7">
        <f>'5c. Customer Count-Connections'!H9</f>
        <v>28</v>
      </c>
      <c r="P8" s="7">
        <f>'5c. Customer Count-Connections'!I9</f>
        <v>900</v>
      </c>
      <c r="Q8" s="7">
        <f t="shared" si="0"/>
        <v>4530</v>
      </c>
      <c r="R8" s="39">
        <v>3721817.7134580002</v>
      </c>
      <c r="S8" s="2">
        <v>7</v>
      </c>
      <c r="T8" s="39">
        <v>124751.03412106798</v>
      </c>
      <c r="V8" s="21">
        <v>7</v>
      </c>
    </row>
    <row r="9" spans="1:22">
      <c r="A9" s="2">
        <v>2010</v>
      </c>
      <c r="B9" s="2" t="s">
        <v>9</v>
      </c>
      <c r="C9" s="9">
        <v>19.299999999999997</v>
      </c>
      <c r="D9" s="9">
        <v>82.000000000000014</v>
      </c>
      <c r="E9" s="11">
        <v>31</v>
      </c>
      <c r="F9" s="12">
        <v>336</v>
      </c>
      <c r="G9" s="2">
        <v>0</v>
      </c>
      <c r="H9" s="128">
        <v>117.1</v>
      </c>
      <c r="I9" s="33">
        <v>672</v>
      </c>
      <c r="J9" s="7">
        <f>'5c. Customer Count-Connections'!C10</f>
        <v>3073</v>
      </c>
      <c r="K9" s="7">
        <f>'5c. Customer Count-Connections'!D10</f>
        <v>482</v>
      </c>
      <c r="L9" s="7">
        <f>'5c. Customer Count-Connections'!E10</f>
        <v>38</v>
      </c>
      <c r="M9" s="7">
        <f>'5c. Customer Count-Connections'!F10</f>
        <v>5</v>
      </c>
      <c r="N9" s="7">
        <f>'5c. Customer Count-Connections'!G10</f>
        <v>1</v>
      </c>
      <c r="O9" s="7">
        <f>'5c. Customer Count-Connections'!H10</f>
        <v>28</v>
      </c>
      <c r="P9" s="7">
        <f>'5c. Customer Count-Connections'!I10</f>
        <v>900</v>
      </c>
      <c r="Q9" s="7">
        <f t="shared" si="0"/>
        <v>4527</v>
      </c>
      <c r="R9" s="39">
        <v>4170740.4139440004</v>
      </c>
      <c r="S9" s="2">
        <v>8</v>
      </c>
      <c r="T9" s="39">
        <v>123483.55568526627</v>
      </c>
      <c r="V9" s="21">
        <v>8</v>
      </c>
    </row>
    <row r="10" spans="1:22">
      <c r="A10" s="2">
        <v>2010</v>
      </c>
      <c r="B10" s="2" t="s">
        <v>10</v>
      </c>
      <c r="C10" s="9">
        <v>137</v>
      </c>
      <c r="D10" s="9">
        <v>15.5</v>
      </c>
      <c r="E10" s="11">
        <v>30</v>
      </c>
      <c r="F10" s="12">
        <v>336</v>
      </c>
      <c r="G10" s="2">
        <v>1</v>
      </c>
      <c r="H10" s="128">
        <v>117.3</v>
      </c>
      <c r="I10" s="33">
        <v>665.1</v>
      </c>
      <c r="J10" s="7">
        <f>'5c. Customer Count-Connections'!C11</f>
        <v>3069</v>
      </c>
      <c r="K10" s="7">
        <f>'5c. Customer Count-Connections'!D11</f>
        <v>483</v>
      </c>
      <c r="L10" s="7">
        <f>'5c. Customer Count-Connections'!E11</f>
        <v>38</v>
      </c>
      <c r="M10" s="7">
        <f>'5c. Customer Count-Connections'!F11</f>
        <v>5</v>
      </c>
      <c r="N10" s="7">
        <f>'5c. Customer Count-Connections'!G11</f>
        <v>1</v>
      </c>
      <c r="O10" s="7">
        <f>'5c. Customer Count-Connections'!H11</f>
        <v>28</v>
      </c>
      <c r="P10" s="7">
        <f>'5c. Customer Count-Connections'!I11</f>
        <v>900</v>
      </c>
      <c r="Q10" s="7">
        <f t="shared" si="0"/>
        <v>4524</v>
      </c>
      <c r="R10" s="39">
        <v>3919808.5180150005</v>
      </c>
      <c r="S10" s="2">
        <v>9</v>
      </c>
      <c r="T10" s="39">
        <v>122216.07724946456</v>
      </c>
      <c r="V10" s="21">
        <v>9</v>
      </c>
    </row>
    <row r="11" spans="1:22">
      <c r="A11" s="2">
        <v>2010</v>
      </c>
      <c r="B11" s="2" t="s">
        <v>11</v>
      </c>
      <c r="C11" s="9">
        <v>300.99999999999994</v>
      </c>
      <c r="D11" s="9">
        <v>0</v>
      </c>
      <c r="E11" s="11">
        <v>31</v>
      </c>
      <c r="F11" s="12">
        <v>320</v>
      </c>
      <c r="G11" s="2">
        <v>1</v>
      </c>
      <c r="H11" s="128">
        <v>117.7</v>
      </c>
      <c r="I11" s="33">
        <v>657.2</v>
      </c>
      <c r="J11" s="7">
        <f>'5c. Customer Count-Connections'!C12</f>
        <v>3075</v>
      </c>
      <c r="K11" s="7">
        <f>'5c. Customer Count-Connections'!D12</f>
        <v>478</v>
      </c>
      <c r="L11" s="7">
        <f>'5c. Customer Count-Connections'!E12</f>
        <v>38</v>
      </c>
      <c r="M11" s="7">
        <f>'5c. Customer Count-Connections'!F12</f>
        <v>5</v>
      </c>
      <c r="N11" s="7">
        <f>'5c. Customer Count-Connections'!G12</f>
        <v>1</v>
      </c>
      <c r="O11" s="7">
        <f>'5c. Customer Count-Connections'!H12</f>
        <v>28</v>
      </c>
      <c r="P11" s="7">
        <f>'5c. Customer Count-Connections'!I12</f>
        <v>900</v>
      </c>
      <c r="Q11" s="7">
        <f t="shared" si="0"/>
        <v>4525</v>
      </c>
      <c r="R11" s="39">
        <v>3943157.2559859999</v>
      </c>
      <c r="S11" s="2">
        <v>10</v>
      </c>
      <c r="T11" s="39">
        <v>120948.59881366287</v>
      </c>
      <c r="V11" s="21">
        <v>10</v>
      </c>
    </row>
    <row r="12" spans="1:22">
      <c r="A12" s="2">
        <v>2010</v>
      </c>
      <c r="B12" s="2" t="s">
        <v>12</v>
      </c>
      <c r="C12" s="9">
        <v>439.26666666666659</v>
      </c>
      <c r="D12" s="9">
        <v>0</v>
      </c>
      <c r="E12" s="11">
        <v>30</v>
      </c>
      <c r="F12" s="12">
        <v>336</v>
      </c>
      <c r="G12" s="2">
        <v>1</v>
      </c>
      <c r="H12" s="128">
        <v>117.8</v>
      </c>
      <c r="I12" s="33">
        <v>622.20000000000005</v>
      </c>
      <c r="J12" s="7">
        <f>'5c. Customer Count-Connections'!C13</f>
        <v>3094</v>
      </c>
      <c r="K12" s="7">
        <f>'5c. Customer Count-Connections'!D13</f>
        <v>475</v>
      </c>
      <c r="L12" s="7">
        <f>'5c. Customer Count-Connections'!E13</f>
        <v>38</v>
      </c>
      <c r="M12" s="7">
        <f>'5c. Customer Count-Connections'!F13</f>
        <v>5</v>
      </c>
      <c r="N12" s="7">
        <f>'5c. Customer Count-Connections'!G13</f>
        <v>1</v>
      </c>
      <c r="O12" s="7">
        <f>'5c. Customer Count-Connections'!H13</f>
        <v>28</v>
      </c>
      <c r="P12" s="7">
        <f>'5c. Customer Count-Connections'!I13</f>
        <v>900</v>
      </c>
      <c r="Q12" s="7">
        <f t="shared" si="0"/>
        <v>4541</v>
      </c>
      <c r="R12" s="39">
        <v>3894738.300245</v>
      </c>
      <c r="S12" s="2">
        <v>11</v>
      </c>
      <c r="T12" s="39">
        <v>119681.12037786117</v>
      </c>
      <c r="V12" s="21">
        <v>11</v>
      </c>
    </row>
    <row r="13" spans="1:22">
      <c r="A13" s="2">
        <v>2010</v>
      </c>
      <c r="B13" s="2" t="s">
        <v>13</v>
      </c>
      <c r="C13" s="9">
        <v>744.29999999999984</v>
      </c>
      <c r="D13" s="9">
        <v>0</v>
      </c>
      <c r="E13" s="11">
        <v>31</v>
      </c>
      <c r="F13" s="12">
        <v>368</v>
      </c>
      <c r="G13" s="2">
        <v>0</v>
      </c>
      <c r="H13" s="128">
        <v>117.6</v>
      </c>
      <c r="I13" s="33">
        <v>653.29999999999995</v>
      </c>
      <c r="J13" s="7">
        <f>'5c. Customer Count-Connections'!C14</f>
        <v>3095</v>
      </c>
      <c r="K13" s="7">
        <f>'5c. Customer Count-Connections'!D14</f>
        <v>473</v>
      </c>
      <c r="L13" s="7">
        <f>'5c. Customer Count-Connections'!E14</f>
        <v>38</v>
      </c>
      <c r="M13" s="7">
        <f>'5c. Customer Count-Connections'!F14</f>
        <v>5</v>
      </c>
      <c r="N13" s="7">
        <f>'5c. Customer Count-Connections'!G14</f>
        <v>3</v>
      </c>
      <c r="O13" s="7">
        <f>'5c. Customer Count-Connections'!H14</f>
        <v>28</v>
      </c>
      <c r="P13" s="7">
        <f>'5c. Customer Count-Connections'!I14</f>
        <v>900</v>
      </c>
      <c r="Q13" s="7">
        <f t="shared" si="0"/>
        <v>4542</v>
      </c>
      <c r="R13" s="39">
        <v>3453655.6664740001</v>
      </c>
      <c r="S13" s="2">
        <v>12</v>
      </c>
      <c r="T13" s="39">
        <v>118413.64194205946</v>
      </c>
      <c r="V13" s="21">
        <v>12</v>
      </c>
    </row>
    <row r="14" spans="1:22">
      <c r="A14" s="2">
        <v>2011</v>
      </c>
      <c r="B14" s="2" t="s">
        <v>2</v>
      </c>
      <c r="C14" s="9">
        <v>866.5</v>
      </c>
      <c r="D14" s="9">
        <v>0</v>
      </c>
      <c r="E14" s="11">
        <v>31</v>
      </c>
      <c r="F14" s="12">
        <v>336</v>
      </c>
      <c r="G14" s="2">
        <v>0</v>
      </c>
      <c r="H14" s="128">
        <v>117.5</v>
      </c>
      <c r="I14" s="33">
        <v>649.29999999999995</v>
      </c>
      <c r="J14" s="7">
        <f>'5c. Customer Count-Connections'!C15</f>
        <v>3103</v>
      </c>
      <c r="K14" s="7">
        <f>'5c. Customer Count-Connections'!D15</f>
        <v>477</v>
      </c>
      <c r="L14" s="7">
        <f>'5c. Customer Count-Connections'!E15</f>
        <v>38</v>
      </c>
      <c r="M14" s="7">
        <f>'5c. Customer Count-Connections'!F15</f>
        <v>5</v>
      </c>
      <c r="N14" s="7">
        <f>'5c. Customer Count-Connections'!G15</f>
        <v>3</v>
      </c>
      <c r="O14" s="7">
        <f>'5c. Customer Count-Connections'!H15</f>
        <v>28</v>
      </c>
      <c r="P14" s="7">
        <f>'5c. Customer Count-Connections'!I15</f>
        <v>900</v>
      </c>
      <c r="Q14" s="7">
        <f t="shared" si="0"/>
        <v>4554</v>
      </c>
      <c r="R14" s="39">
        <v>3844682.6114840005</v>
      </c>
      <c r="S14" s="2">
        <v>13</v>
      </c>
      <c r="T14" s="39">
        <v>120821.85146347174</v>
      </c>
      <c r="V14" s="21">
        <v>13</v>
      </c>
    </row>
    <row r="15" spans="1:22">
      <c r="A15" s="2">
        <v>2011</v>
      </c>
      <c r="B15" s="2" t="s">
        <v>3</v>
      </c>
      <c r="C15" s="9">
        <v>720.4000000000002</v>
      </c>
      <c r="D15" s="9">
        <v>0</v>
      </c>
      <c r="E15" s="11">
        <v>29</v>
      </c>
      <c r="F15" s="12">
        <v>304</v>
      </c>
      <c r="G15" s="2">
        <v>0</v>
      </c>
      <c r="H15" s="128">
        <v>117.9</v>
      </c>
      <c r="I15" s="33">
        <v>651.20000000000005</v>
      </c>
      <c r="J15" s="7">
        <f>'5c. Customer Count-Connections'!C16</f>
        <v>3097</v>
      </c>
      <c r="K15" s="7">
        <f>'5c. Customer Count-Connections'!D16</f>
        <v>473</v>
      </c>
      <c r="L15" s="7">
        <f>'5c. Customer Count-Connections'!E16</f>
        <v>38</v>
      </c>
      <c r="M15" s="7">
        <f>'5c. Customer Count-Connections'!F16</f>
        <v>5</v>
      </c>
      <c r="N15" s="7">
        <f>'5c. Customer Count-Connections'!G16</f>
        <v>3</v>
      </c>
      <c r="O15" s="7">
        <f>'5c. Customer Count-Connections'!H16</f>
        <v>28</v>
      </c>
      <c r="P15" s="7">
        <f>'5c. Customer Count-Connections'!I16</f>
        <v>900</v>
      </c>
      <c r="Q15" s="7">
        <f t="shared" si="0"/>
        <v>4544</v>
      </c>
      <c r="R15" s="39">
        <v>3768297.0046930001</v>
      </c>
      <c r="S15" s="2">
        <v>14</v>
      </c>
      <c r="T15" s="39">
        <v>123230.06098488402</v>
      </c>
      <c r="V15" s="21">
        <v>14</v>
      </c>
    </row>
    <row r="16" spans="1:22">
      <c r="A16" s="2">
        <v>2011</v>
      </c>
      <c r="B16" s="2" t="s">
        <v>4</v>
      </c>
      <c r="C16" s="9">
        <v>660.1</v>
      </c>
      <c r="D16" s="9">
        <v>0</v>
      </c>
      <c r="E16" s="11">
        <v>31</v>
      </c>
      <c r="F16" s="12">
        <v>368</v>
      </c>
      <c r="G16" s="2">
        <v>1</v>
      </c>
      <c r="H16" s="128">
        <v>119.4</v>
      </c>
      <c r="I16" s="33">
        <v>657.1</v>
      </c>
      <c r="J16" s="7">
        <f>'5c. Customer Count-Connections'!C17</f>
        <v>3098</v>
      </c>
      <c r="K16" s="7">
        <f>'5c. Customer Count-Connections'!D17</f>
        <v>475</v>
      </c>
      <c r="L16" s="7">
        <f>'5c. Customer Count-Connections'!E17</f>
        <v>38</v>
      </c>
      <c r="M16" s="7">
        <f>'5c. Customer Count-Connections'!F17</f>
        <v>5</v>
      </c>
      <c r="N16" s="7">
        <f>'5c. Customer Count-Connections'!G17</f>
        <v>1</v>
      </c>
      <c r="O16" s="7">
        <f>'5c. Customer Count-Connections'!H17</f>
        <v>28</v>
      </c>
      <c r="P16" s="7">
        <f>'5c. Customer Count-Connections'!I17</f>
        <v>900</v>
      </c>
      <c r="Q16" s="7">
        <f t="shared" si="0"/>
        <v>4545</v>
      </c>
      <c r="R16" s="39">
        <v>4320214.4097060002</v>
      </c>
      <c r="S16" s="2">
        <v>15</v>
      </c>
      <c r="T16" s="39">
        <v>125638.27050629631</v>
      </c>
      <c r="V16" s="21">
        <v>15</v>
      </c>
    </row>
    <row r="17" spans="1:22">
      <c r="A17" s="2">
        <v>2011</v>
      </c>
      <c r="B17" s="2" t="s">
        <v>5</v>
      </c>
      <c r="C17" s="9">
        <v>379.3</v>
      </c>
      <c r="D17" s="9">
        <v>0</v>
      </c>
      <c r="E17" s="11">
        <v>30</v>
      </c>
      <c r="F17" s="12">
        <v>320</v>
      </c>
      <c r="G17" s="2">
        <v>1</v>
      </c>
      <c r="H17" s="128">
        <v>119.8</v>
      </c>
      <c r="I17" s="33">
        <v>666.4</v>
      </c>
      <c r="J17" s="7">
        <f>'5c. Customer Count-Connections'!C18</f>
        <v>3099</v>
      </c>
      <c r="K17" s="7">
        <f>'5c. Customer Count-Connections'!D18</f>
        <v>479</v>
      </c>
      <c r="L17" s="7">
        <f>'5c. Customer Count-Connections'!E18</f>
        <v>38</v>
      </c>
      <c r="M17" s="7">
        <f>'5c. Customer Count-Connections'!F18</f>
        <v>5</v>
      </c>
      <c r="N17" s="7">
        <f>'5c. Customer Count-Connections'!G18</f>
        <v>1</v>
      </c>
      <c r="O17" s="7">
        <f>'5c. Customer Count-Connections'!H18</f>
        <v>28</v>
      </c>
      <c r="P17" s="7">
        <f>'5c. Customer Count-Connections'!I18</f>
        <v>900</v>
      </c>
      <c r="Q17" s="7">
        <f t="shared" si="0"/>
        <v>4550</v>
      </c>
      <c r="R17" s="39">
        <v>3411269.8554350003</v>
      </c>
      <c r="S17" s="2">
        <v>16</v>
      </c>
      <c r="T17" s="39">
        <v>128046.48002770859</v>
      </c>
      <c r="V17" s="21">
        <v>16</v>
      </c>
    </row>
    <row r="18" spans="1:22">
      <c r="A18" s="2">
        <v>2011</v>
      </c>
      <c r="B18" s="2" t="s">
        <v>6</v>
      </c>
      <c r="C18" s="9">
        <v>168.09999999999997</v>
      </c>
      <c r="D18" s="9">
        <v>12.8</v>
      </c>
      <c r="E18" s="11">
        <v>31</v>
      </c>
      <c r="F18" s="12">
        <v>336</v>
      </c>
      <c r="G18" s="2">
        <v>1</v>
      </c>
      <c r="H18" s="128">
        <v>120.8</v>
      </c>
      <c r="I18" s="33">
        <v>671.5</v>
      </c>
      <c r="J18" s="7">
        <f>'5c. Customer Count-Connections'!C19</f>
        <v>3090</v>
      </c>
      <c r="K18" s="7">
        <f>'5c. Customer Count-Connections'!D19</f>
        <v>478</v>
      </c>
      <c r="L18" s="7">
        <f>'5c. Customer Count-Connections'!E19</f>
        <v>39</v>
      </c>
      <c r="M18" s="7">
        <f>'5c. Customer Count-Connections'!F19</f>
        <v>5</v>
      </c>
      <c r="N18" s="7">
        <f>'5c. Customer Count-Connections'!G19</f>
        <v>1</v>
      </c>
      <c r="O18" s="7">
        <f>'5c. Customer Count-Connections'!H19</f>
        <v>28</v>
      </c>
      <c r="P18" s="7">
        <f>'5c. Customer Count-Connections'!I19</f>
        <v>900</v>
      </c>
      <c r="Q18" s="7">
        <f t="shared" si="0"/>
        <v>4541</v>
      </c>
      <c r="R18" s="39">
        <v>3753615.9545820006</v>
      </c>
      <c r="S18" s="2">
        <v>17</v>
      </c>
      <c r="T18" s="39">
        <v>130454.68954912087</v>
      </c>
      <c r="V18" s="21">
        <v>17</v>
      </c>
    </row>
    <row r="19" spans="1:22">
      <c r="A19" s="2">
        <v>2011</v>
      </c>
      <c r="B19" s="2" t="s">
        <v>7</v>
      </c>
      <c r="C19" s="9">
        <v>64.099999999999994</v>
      </c>
      <c r="D19" s="9">
        <v>16.400000000000002</v>
      </c>
      <c r="E19" s="11">
        <v>30</v>
      </c>
      <c r="F19" s="12">
        <v>352</v>
      </c>
      <c r="G19" s="2">
        <v>0</v>
      </c>
      <c r="H19" s="128">
        <v>120.2</v>
      </c>
      <c r="I19" s="33">
        <v>681.8</v>
      </c>
      <c r="J19" s="7">
        <f>'5c. Customer Count-Connections'!C20</f>
        <v>3098</v>
      </c>
      <c r="K19" s="7">
        <f>'5c. Customer Count-Connections'!D20</f>
        <v>482</v>
      </c>
      <c r="L19" s="7">
        <f>'5c. Customer Count-Connections'!E20</f>
        <v>39</v>
      </c>
      <c r="M19" s="7">
        <f>'5c. Customer Count-Connections'!F20</f>
        <v>5</v>
      </c>
      <c r="N19" s="7">
        <f>'5c. Customer Count-Connections'!G20</f>
        <v>1</v>
      </c>
      <c r="O19" s="7">
        <f>'5c. Customer Count-Connections'!H20</f>
        <v>28</v>
      </c>
      <c r="P19" s="7">
        <f>'5c. Customer Count-Connections'!I20</f>
        <v>900</v>
      </c>
      <c r="Q19" s="7">
        <f t="shared" si="0"/>
        <v>4553</v>
      </c>
      <c r="R19" s="39">
        <v>3885859.6709010005</v>
      </c>
      <c r="S19" s="2">
        <v>18</v>
      </c>
      <c r="T19" s="39">
        <v>132862.89907053314</v>
      </c>
      <c r="V19" s="21">
        <v>18</v>
      </c>
    </row>
    <row r="20" spans="1:22">
      <c r="A20" s="2">
        <v>2011</v>
      </c>
      <c r="B20" s="2" t="s">
        <v>8</v>
      </c>
      <c r="C20" s="9">
        <v>3.7</v>
      </c>
      <c r="D20" s="9">
        <v>104.29999999999998</v>
      </c>
      <c r="E20" s="11">
        <v>31</v>
      </c>
      <c r="F20" s="12">
        <v>320</v>
      </c>
      <c r="G20" s="2">
        <v>0</v>
      </c>
      <c r="H20" s="128">
        <v>120.4</v>
      </c>
      <c r="I20" s="33">
        <v>691.5</v>
      </c>
      <c r="J20" s="7">
        <f>'5c. Customer Count-Connections'!C21</f>
        <v>3108</v>
      </c>
      <c r="K20" s="7">
        <f>'5c. Customer Count-Connections'!D21</f>
        <v>480</v>
      </c>
      <c r="L20" s="7">
        <f>'5c. Customer Count-Connections'!E21</f>
        <v>39</v>
      </c>
      <c r="M20" s="7">
        <f>'5c. Customer Count-Connections'!F21</f>
        <v>5</v>
      </c>
      <c r="N20" s="7">
        <f>'5c. Customer Count-Connections'!G21</f>
        <v>1</v>
      </c>
      <c r="O20" s="7">
        <f>'5c. Customer Count-Connections'!H21</f>
        <v>28</v>
      </c>
      <c r="P20" s="7">
        <f>'5c. Customer Count-Connections'!I21</f>
        <v>900</v>
      </c>
      <c r="Q20" s="7">
        <f t="shared" si="0"/>
        <v>4561</v>
      </c>
      <c r="R20" s="39">
        <v>3654592.0448179999</v>
      </c>
      <c r="S20" s="2">
        <v>19</v>
      </c>
      <c r="T20" s="39">
        <v>135271.10859194543</v>
      </c>
      <c r="V20" s="21">
        <v>19</v>
      </c>
    </row>
    <row r="21" spans="1:22">
      <c r="A21" s="2">
        <v>2011</v>
      </c>
      <c r="B21" s="2" t="s">
        <v>9</v>
      </c>
      <c r="C21" s="9">
        <v>13.6</v>
      </c>
      <c r="D21" s="9">
        <v>53.300000000000004</v>
      </c>
      <c r="E21" s="11">
        <v>31</v>
      </c>
      <c r="F21" s="12">
        <v>368</v>
      </c>
      <c r="G21" s="2">
        <v>0</v>
      </c>
      <c r="H21" s="128">
        <v>120.5</v>
      </c>
      <c r="I21" s="33">
        <v>694.9</v>
      </c>
      <c r="J21" s="7">
        <f>'5c. Customer Count-Connections'!C22</f>
        <v>3110</v>
      </c>
      <c r="K21" s="7">
        <f>'5c. Customer Count-Connections'!D22</f>
        <v>480</v>
      </c>
      <c r="L21" s="7">
        <f>'5c. Customer Count-Connections'!E22</f>
        <v>39</v>
      </c>
      <c r="M21" s="7">
        <f>'5c. Customer Count-Connections'!F22</f>
        <v>5</v>
      </c>
      <c r="N21" s="7">
        <f>'5c. Customer Count-Connections'!G22</f>
        <v>1</v>
      </c>
      <c r="O21" s="7">
        <f>'5c. Customer Count-Connections'!H22</f>
        <v>28</v>
      </c>
      <c r="P21" s="7">
        <f>'5c. Customer Count-Connections'!I22</f>
        <v>898</v>
      </c>
      <c r="Q21" s="7">
        <f t="shared" si="0"/>
        <v>4561</v>
      </c>
      <c r="R21" s="39">
        <v>4498564.7389930002</v>
      </c>
      <c r="S21" s="2">
        <v>20</v>
      </c>
      <c r="T21" s="39">
        <v>137679.3181133577</v>
      </c>
      <c r="V21" s="21">
        <v>20</v>
      </c>
    </row>
    <row r="22" spans="1:22">
      <c r="A22" s="2">
        <v>2011</v>
      </c>
      <c r="B22" s="2" t="s">
        <v>10</v>
      </c>
      <c r="C22" s="9">
        <v>106.33333333333331</v>
      </c>
      <c r="D22" s="9">
        <v>20.7</v>
      </c>
      <c r="E22" s="11">
        <v>30</v>
      </c>
      <c r="F22" s="12">
        <v>336</v>
      </c>
      <c r="G22" s="2">
        <v>1</v>
      </c>
      <c r="H22" s="128">
        <v>121.2</v>
      </c>
      <c r="I22" s="33">
        <v>688.6</v>
      </c>
      <c r="J22" s="7">
        <f>'5c. Customer Count-Connections'!C23</f>
        <v>3101</v>
      </c>
      <c r="K22" s="7">
        <f>'5c. Customer Count-Connections'!D23</f>
        <v>480</v>
      </c>
      <c r="L22" s="7">
        <f>'5c. Customer Count-Connections'!E23</f>
        <v>39</v>
      </c>
      <c r="M22" s="7">
        <f>'5c. Customer Count-Connections'!F23</f>
        <v>5</v>
      </c>
      <c r="N22" s="7">
        <f>'5c. Customer Count-Connections'!G23</f>
        <v>1</v>
      </c>
      <c r="O22" s="7">
        <f>'5c. Customer Count-Connections'!H23</f>
        <v>28</v>
      </c>
      <c r="P22" s="7">
        <f>'5c. Customer Count-Connections'!I23</f>
        <v>898</v>
      </c>
      <c r="Q22" s="7">
        <f t="shared" si="0"/>
        <v>4552</v>
      </c>
      <c r="R22" s="39">
        <v>4242244.9229550008</v>
      </c>
      <c r="S22" s="2">
        <v>21</v>
      </c>
      <c r="T22" s="39">
        <v>140087.52763477</v>
      </c>
      <c r="V22" s="21">
        <v>21</v>
      </c>
    </row>
    <row r="23" spans="1:22">
      <c r="A23" s="2">
        <v>2011</v>
      </c>
      <c r="B23" s="2" t="s">
        <v>11</v>
      </c>
      <c r="C23" s="9">
        <v>276.60000000000008</v>
      </c>
      <c r="D23" s="9">
        <v>0.3</v>
      </c>
      <c r="E23" s="11">
        <v>31</v>
      </c>
      <c r="F23" s="12">
        <v>320</v>
      </c>
      <c r="G23" s="2">
        <v>1</v>
      </c>
      <c r="H23" s="128">
        <v>121.1</v>
      </c>
      <c r="I23" s="33">
        <v>682.2</v>
      </c>
      <c r="J23" s="7">
        <f>'5c. Customer Count-Connections'!C24</f>
        <v>3106</v>
      </c>
      <c r="K23" s="7">
        <f>'5c. Customer Count-Connections'!D24</f>
        <v>481</v>
      </c>
      <c r="L23" s="7">
        <f>'5c. Customer Count-Connections'!E24</f>
        <v>39</v>
      </c>
      <c r="M23" s="7">
        <f>'5c. Customer Count-Connections'!F24</f>
        <v>5</v>
      </c>
      <c r="N23" s="7">
        <f>'5c. Customer Count-Connections'!G24</f>
        <v>1</v>
      </c>
      <c r="O23" s="7">
        <f>'5c. Customer Count-Connections'!H24</f>
        <v>28</v>
      </c>
      <c r="P23" s="7">
        <f>'5c. Customer Count-Connections'!I24</f>
        <v>898</v>
      </c>
      <c r="Q23" s="7">
        <f t="shared" si="0"/>
        <v>4558</v>
      </c>
      <c r="R23" s="39">
        <v>4411473.7128020003</v>
      </c>
      <c r="S23" s="2">
        <v>22</v>
      </c>
      <c r="T23" s="39">
        <v>142495.73715618227</v>
      </c>
      <c r="V23" s="21">
        <v>22</v>
      </c>
    </row>
    <row r="24" spans="1:22">
      <c r="A24" s="2">
        <v>2011</v>
      </c>
      <c r="B24" s="2" t="s">
        <v>12</v>
      </c>
      <c r="C24" s="9">
        <v>399.39999999999992</v>
      </c>
      <c r="D24" s="9">
        <v>0</v>
      </c>
      <c r="E24" s="11">
        <v>30</v>
      </c>
      <c r="F24" s="12">
        <v>352</v>
      </c>
      <c r="G24" s="2">
        <v>1</v>
      </c>
      <c r="H24" s="128">
        <v>120.9</v>
      </c>
      <c r="I24" s="33">
        <v>677</v>
      </c>
      <c r="J24" s="7">
        <f>'5c. Customer Count-Connections'!C25</f>
        <v>3112</v>
      </c>
      <c r="K24" s="7">
        <f>'5c. Customer Count-Connections'!D25</f>
        <v>474</v>
      </c>
      <c r="L24" s="7">
        <f>'5c. Customer Count-Connections'!E25</f>
        <v>37</v>
      </c>
      <c r="M24" s="7">
        <f>'5c. Customer Count-Connections'!F25</f>
        <v>5</v>
      </c>
      <c r="N24" s="7">
        <f>'5c. Customer Count-Connections'!G25</f>
        <v>2</v>
      </c>
      <c r="O24" s="7">
        <f>'5c. Customer Count-Connections'!H25</f>
        <v>28</v>
      </c>
      <c r="P24" s="7">
        <f>'5c. Customer Count-Connections'!I25</f>
        <v>898</v>
      </c>
      <c r="Q24" s="7">
        <f t="shared" si="0"/>
        <v>4556</v>
      </c>
      <c r="R24" s="39">
        <v>4082024.3273420003</v>
      </c>
      <c r="S24" s="2">
        <v>23</v>
      </c>
      <c r="T24" s="39">
        <v>144903.94667759456</v>
      </c>
      <c r="V24" s="21">
        <v>23</v>
      </c>
    </row>
    <row r="25" spans="1:22">
      <c r="A25" s="2">
        <v>2011</v>
      </c>
      <c r="B25" s="2" t="s">
        <v>13</v>
      </c>
      <c r="C25" s="9">
        <v>609.79999999999984</v>
      </c>
      <c r="D25" s="9">
        <v>0</v>
      </c>
      <c r="E25" s="11">
        <v>31</v>
      </c>
      <c r="F25" s="12">
        <v>336</v>
      </c>
      <c r="G25" s="2">
        <v>0</v>
      </c>
      <c r="H25" s="128">
        <v>120.2</v>
      </c>
      <c r="I25" s="33">
        <v>676.6</v>
      </c>
      <c r="J25" s="7">
        <f>'5c. Customer Count-Connections'!C26</f>
        <v>3117</v>
      </c>
      <c r="K25" s="7">
        <f>'5c. Customer Count-Connections'!D26</f>
        <v>474</v>
      </c>
      <c r="L25" s="7">
        <f>'5c. Customer Count-Connections'!E26</f>
        <v>37</v>
      </c>
      <c r="M25" s="7">
        <f>'5c. Customer Count-Connections'!F26</f>
        <v>5</v>
      </c>
      <c r="N25" s="7">
        <f>'5c. Customer Count-Connections'!G26</f>
        <v>3</v>
      </c>
      <c r="O25" s="7">
        <f>'5c. Customer Count-Connections'!H26</f>
        <v>28</v>
      </c>
      <c r="P25" s="7">
        <f>'5c. Customer Count-Connections'!I26</f>
        <v>898</v>
      </c>
      <c r="Q25" s="7">
        <f t="shared" si="0"/>
        <v>4562</v>
      </c>
      <c r="R25" s="39">
        <v>3790571.2206960004</v>
      </c>
      <c r="S25" s="2">
        <v>24</v>
      </c>
      <c r="T25" s="39">
        <v>147312.15619900686</v>
      </c>
      <c r="V25" s="21">
        <v>24</v>
      </c>
    </row>
    <row r="26" spans="1:22">
      <c r="A26" s="2">
        <v>2012</v>
      </c>
      <c r="B26" s="2" t="s">
        <v>2</v>
      </c>
      <c r="C26" s="9">
        <v>694.59999999999991</v>
      </c>
      <c r="D26" s="9">
        <v>0</v>
      </c>
      <c r="E26" s="11">
        <v>31</v>
      </c>
      <c r="F26" s="12">
        <v>336</v>
      </c>
      <c r="G26" s="2">
        <v>0</v>
      </c>
      <c r="H26" s="128">
        <v>120.7</v>
      </c>
      <c r="I26" s="33">
        <v>670.9</v>
      </c>
      <c r="J26" s="7">
        <f>'5c. Customer Count-Connections'!C27</f>
        <v>3120</v>
      </c>
      <c r="K26" s="7">
        <f>'5c. Customer Count-Connections'!D27</f>
        <v>473</v>
      </c>
      <c r="L26" s="7">
        <f>'5c. Customer Count-Connections'!E27</f>
        <v>37</v>
      </c>
      <c r="M26" s="7">
        <f>'5c. Customer Count-Connections'!F27</f>
        <v>5</v>
      </c>
      <c r="N26" s="7">
        <f>'5c. Customer Count-Connections'!G27</f>
        <v>3</v>
      </c>
      <c r="O26" s="7">
        <f>'5c. Customer Count-Connections'!H27</f>
        <v>28</v>
      </c>
      <c r="P26" s="7">
        <f>'5c. Customer Count-Connections'!I27</f>
        <v>898</v>
      </c>
      <c r="Q26" s="7">
        <f t="shared" si="0"/>
        <v>4564</v>
      </c>
      <c r="R26" s="39">
        <v>4250569.7720590001</v>
      </c>
      <c r="S26" s="2">
        <v>25</v>
      </c>
      <c r="T26" s="39">
        <v>150637.88616453169</v>
      </c>
      <c r="V26" s="21">
        <v>25</v>
      </c>
    </row>
    <row r="27" spans="1:22">
      <c r="A27" s="2">
        <v>2012</v>
      </c>
      <c r="B27" s="2" t="s">
        <v>3</v>
      </c>
      <c r="C27" s="9">
        <v>611.39999999999986</v>
      </c>
      <c r="D27" s="9">
        <v>0</v>
      </c>
      <c r="E27" s="11">
        <v>28</v>
      </c>
      <c r="F27" s="12">
        <v>304</v>
      </c>
      <c r="G27" s="2">
        <v>0</v>
      </c>
      <c r="H27" s="128">
        <v>121.5</v>
      </c>
      <c r="I27" s="33">
        <v>668.7</v>
      </c>
      <c r="J27" s="7">
        <f>'5c. Customer Count-Connections'!C28</f>
        <v>3119</v>
      </c>
      <c r="K27" s="7">
        <f>'5c. Customer Count-Connections'!D28</f>
        <v>472</v>
      </c>
      <c r="L27" s="7">
        <f>'5c. Customer Count-Connections'!E28</f>
        <v>37</v>
      </c>
      <c r="M27" s="7">
        <f>'5c. Customer Count-Connections'!F28</f>
        <v>5</v>
      </c>
      <c r="N27" s="7">
        <f>'5c. Customer Count-Connections'!G28</f>
        <v>1</v>
      </c>
      <c r="O27" s="7">
        <f>'5c. Customer Count-Connections'!H28</f>
        <v>28</v>
      </c>
      <c r="P27" s="7">
        <f>'5c. Customer Count-Connections'!I28</f>
        <v>898</v>
      </c>
      <c r="Q27" s="7">
        <f t="shared" si="0"/>
        <v>4560</v>
      </c>
      <c r="R27" s="39">
        <v>4141903.1103710001</v>
      </c>
      <c r="S27" s="2">
        <v>26</v>
      </c>
      <c r="T27" s="39">
        <v>153963.61613005653</v>
      </c>
      <c r="V27" s="21">
        <v>26</v>
      </c>
    </row>
    <row r="28" spans="1:22">
      <c r="A28" s="2">
        <v>2012</v>
      </c>
      <c r="B28" s="2" t="s">
        <v>4</v>
      </c>
      <c r="C28" s="9">
        <v>388.69999999999987</v>
      </c>
      <c r="D28" s="9">
        <v>3.4000000000000004</v>
      </c>
      <c r="E28" s="11">
        <v>31</v>
      </c>
      <c r="F28" s="12">
        <v>352</v>
      </c>
      <c r="G28" s="2">
        <v>1</v>
      </c>
      <c r="H28" s="128">
        <v>122</v>
      </c>
      <c r="I28" s="33">
        <v>666</v>
      </c>
      <c r="J28" s="7">
        <f>'5c. Customer Count-Connections'!C29</f>
        <v>3118</v>
      </c>
      <c r="K28" s="7">
        <f>'5c. Customer Count-Connections'!D29</f>
        <v>472</v>
      </c>
      <c r="L28" s="7">
        <f>'5c. Customer Count-Connections'!E29</f>
        <v>37</v>
      </c>
      <c r="M28" s="7">
        <f>'5c. Customer Count-Connections'!F29</f>
        <v>5</v>
      </c>
      <c r="N28" s="7">
        <f>'5c. Customer Count-Connections'!G29</f>
        <v>1</v>
      </c>
      <c r="O28" s="7">
        <f>'5c. Customer Count-Connections'!H29</f>
        <v>28</v>
      </c>
      <c r="P28" s="7">
        <f>'5c. Customer Count-Connections'!I29</f>
        <v>898</v>
      </c>
      <c r="Q28" s="7">
        <f t="shared" si="0"/>
        <v>4559</v>
      </c>
      <c r="R28" s="39">
        <v>4592873.6529520005</v>
      </c>
      <c r="S28" s="2">
        <v>27</v>
      </c>
      <c r="T28" s="39">
        <v>157289.34609558136</v>
      </c>
      <c r="V28" s="21">
        <v>27</v>
      </c>
    </row>
    <row r="29" spans="1:22">
      <c r="A29" s="2">
        <v>2012</v>
      </c>
      <c r="B29" s="2" t="s">
        <v>5</v>
      </c>
      <c r="C29" s="9">
        <v>399</v>
      </c>
      <c r="D29" s="9">
        <v>0</v>
      </c>
      <c r="E29" s="11">
        <v>30</v>
      </c>
      <c r="F29" s="12">
        <v>304</v>
      </c>
      <c r="G29" s="2">
        <v>1</v>
      </c>
      <c r="H29" s="128">
        <v>122.4</v>
      </c>
      <c r="I29" s="33">
        <v>667.4</v>
      </c>
      <c r="J29" s="7">
        <f>'5c. Customer Count-Connections'!C30</f>
        <v>3123</v>
      </c>
      <c r="K29" s="7">
        <f>'5c. Customer Count-Connections'!D30</f>
        <v>475</v>
      </c>
      <c r="L29" s="7">
        <f>'5c. Customer Count-Connections'!E30</f>
        <v>37</v>
      </c>
      <c r="M29" s="7">
        <f>'5c. Customer Count-Connections'!F30</f>
        <v>5</v>
      </c>
      <c r="N29" s="7">
        <f>'5c. Customer Count-Connections'!G30</f>
        <v>1</v>
      </c>
      <c r="O29" s="7">
        <f>'5c. Customer Count-Connections'!H30</f>
        <v>28</v>
      </c>
      <c r="P29" s="7">
        <f>'5c. Customer Count-Connections'!I30</f>
        <v>898</v>
      </c>
      <c r="Q29" s="7">
        <f t="shared" si="0"/>
        <v>4567</v>
      </c>
      <c r="R29" s="39">
        <v>4218127.1515630009</v>
      </c>
      <c r="S29" s="2">
        <v>28</v>
      </c>
      <c r="T29" s="39">
        <v>160615.07606110617</v>
      </c>
      <c r="V29" s="21">
        <v>28</v>
      </c>
    </row>
    <row r="30" spans="1:22">
      <c r="A30" s="2">
        <v>2012</v>
      </c>
      <c r="B30" s="2" t="s">
        <v>6</v>
      </c>
      <c r="C30" s="9">
        <v>123.8</v>
      </c>
      <c r="D30" s="9">
        <v>17.400000000000002</v>
      </c>
      <c r="E30" s="11">
        <v>31</v>
      </c>
      <c r="F30" s="12">
        <v>352</v>
      </c>
      <c r="G30" s="2">
        <v>1</v>
      </c>
      <c r="H30" s="128">
        <v>122.4</v>
      </c>
      <c r="I30" s="33">
        <v>672.1</v>
      </c>
      <c r="J30" s="7">
        <f>'5c. Customer Count-Connections'!C31</f>
        <v>3123</v>
      </c>
      <c r="K30" s="7">
        <f>'5c. Customer Count-Connections'!D31</f>
        <v>480</v>
      </c>
      <c r="L30" s="7">
        <f>'5c. Customer Count-Connections'!E31</f>
        <v>38</v>
      </c>
      <c r="M30" s="7">
        <f>'5c. Customer Count-Connections'!F31</f>
        <v>5</v>
      </c>
      <c r="N30" s="7">
        <f>'5c. Customer Count-Connections'!G31</f>
        <v>1</v>
      </c>
      <c r="O30" s="7">
        <f>'5c. Customer Count-Connections'!H31</f>
        <v>28</v>
      </c>
      <c r="P30" s="7">
        <f>'5c. Customer Count-Connections'!I31</f>
        <v>898</v>
      </c>
      <c r="Q30" s="7">
        <f t="shared" si="0"/>
        <v>4573</v>
      </c>
      <c r="R30" s="39">
        <v>4557567.8623670004</v>
      </c>
      <c r="S30" s="2">
        <v>29</v>
      </c>
      <c r="T30" s="39">
        <v>163940.80602663101</v>
      </c>
      <c r="V30" s="21">
        <v>29</v>
      </c>
    </row>
    <row r="31" spans="1:22">
      <c r="A31" s="2">
        <v>2012</v>
      </c>
      <c r="B31" s="2" t="s">
        <v>7</v>
      </c>
      <c r="C31" s="9">
        <v>56.4</v>
      </c>
      <c r="D31" s="9">
        <v>57.100000000000009</v>
      </c>
      <c r="E31" s="11">
        <v>30</v>
      </c>
      <c r="F31" s="12">
        <v>336</v>
      </c>
      <c r="G31" s="2">
        <v>0</v>
      </c>
      <c r="H31" s="128">
        <v>121.7</v>
      </c>
      <c r="I31" s="33">
        <v>678.4</v>
      </c>
      <c r="J31" s="7">
        <f>'5c. Customer Count-Connections'!C32</f>
        <v>3121</v>
      </c>
      <c r="K31" s="7">
        <f>'5c. Customer Count-Connections'!D32</f>
        <v>482</v>
      </c>
      <c r="L31" s="7">
        <f>'5c. Customer Count-Connections'!E32</f>
        <v>38</v>
      </c>
      <c r="M31" s="7">
        <f>'5c. Customer Count-Connections'!F32</f>
        <v>5</v>
      </c>
      <c r="N31" s="7">
        <f>'5c. Customer Count-Connections'!G32</f>
        <v>1</v>
      </c>
      <c r="O31" s="7">
        <f>'5c. Customer Count-Connections'!H32</f>
        <v>28</v>
      </c>
      <c r="P31" s="7">
        <f>'5c. Customer Count-Connections'!I32</f>
        <v>898</v>
      </c>
      <c r="Q31" s="7">
        <f t="shared" si="0"/>
        <v>4573</v>
      </c>
      <c r="R31" s="39">
        <v>4499265.5448909998</v>
      </c>
      <c r="S31" s="2">
        <v>30</v>
      </c>
      <c r="T31" s="39">
        <v>167266.53599215584</v>
      </c>
      <c r="V31" s="21">
        <v>30</v>
      </c>
    </row>
    <row r="32" spans="1:22">
      <c r="A32" s="2">
        <v>2012</v>
      </c>
      <c r="B32" s="2" t="s">
        <v>8</v>
      </c>
      <c r="C32" s="9">
        <v>0.4</v>
      </c>
      <c r="D32" s="9">
        <v>94.000000000000028</v>
      </c>
      <c r="E32" s="11">
        <v>31</v>
      </c>
      <c r="F32" s="12">
        <v>336</v>
      </c>
      <c r="G32" s="2">
        <v>0</v>
      </c>
      <c r="H32" s="128">
        <v>121.6</v>
      </c>
      <c r="I32" s="33">
        <v>682</v>
      </c>
      <c r="J32" s="7">
        <f>'5c. Customer Count-Connections'!C33</f>
        <v>3124</v>
      </c>
      <c r="K32" s="7">
        <f>'5c. Customer Count-Connections'!D33</f>
        <v>480</v>
      </c>
      <c r="L32" s="7">
        <f>'5c. Customer Count-Connections'!E33</f>
        <v>38</v>
      </c>
      <c r="M32" s="7">
        <f>'5c. Customer Count-Connections'!F33</f>
        <v>5</v>
      </c>
      <c r="N32" s="7">
        <f>'5c. Customer Count-Connections'!G33</f>
        <v>1</v>
      </c>
      <c r="O32" s="7">
        <f>'5c. Customer Count-Connections'!H33</f>
        <v>28</v>
      </c>
      <c r="P32" s="7">
        <f>'5c. Customer Count-Connections'!I33</f>
        <v>898</v>
      </c>
      <c r="Q32" s="7">
        <f t="shared" si="0"/>
        <v>4574</v>
      </c>
      <c r="R32" s="39">
        <v>4141164.2481300007</v>
      </c>
      <c r="S32" s="2">
        <v>31</v>
      </c>
      <c r="T32" s="39">
        <v>170592.26595768068</v>
      </c>
      <c r="V32" s="21">
        <v>31</v>
      </c>
    </row>
    <row r="33" spans="1:22">
      <c r="A33" s="2">
        <v>2012</v>
      </c>
      <c r="B33" s="2" t="s">
        <v>9</v>
      </c>
      <c r="C33" s="9">
        <v>22.5</v>
      </c>
      <c r="D33" s="9">
        <v>50.7</v>
      </c>
      <c r="E33" s="11">
        <v>31</v>
      </c>
      <c r="F33" s="12">
        <v>352</v>
      </c>
      <c r="G33" s="2">
        <v>0</v>
      </c>
      <c r="H33" s="128">
        <v>121.8</v>
      </c>
      <c r="I33" s="33">
        <v>678.5</v>
      </c>
      <c r="J33" s="7">
        <f>'5c. Customer Count-Connections'!C34</f>
        <v>3134</v>
      </c>
      <c r="K33" s="7">
        <f>'5c. Customer Count-Connections'!D34</f>
        <v>480</v>
      </c>
      <c r="L33" s="7">
        <f>'5c. Customer Count-Connections'!E34</f>
        <v>38</v>
      </c>
      <c r="M33" s="7">
        <f>'5c. Customer Count-Connections'!F34</f>
        <v>5</v>
      </c>
      <c r="N33" s="7">
        <f>'5c. Customer Count-Connections'!G34</f>
        <v>1</v>
      </c>
      <c r="O33" s="7">
        <f>'5c. Customer Count-Connections'!H34</f>
        <v>28</v>
      </c>
      <c r="P33" s="7">
        <f>'5c. Customer Count-Connections'!I34</f>
        <v>898</v>
      </c>
      <c r="Q33" s="7">
        <f t="shared" si="0"/>
        <v>4584</v>
      </c>
      <c r="R33" s="39">
        <v>4856393.7889999999</v>
      </c>
      <c r="S33" s="2">
        <v>32</v>
      </c>
      <c r="T33" s="39">
        <v>173917.99592320551</v>
      </c>
      <c r="V33" s="21">
        <v>32</v>
      </c>
    </row>
    <row r="34" spans="1:22">
      <c r="A34" s="2">
        <v>2012</v>
      </c>
      <c r="B34" s="2" t="s">
        <v>10</v>
      </c>
      <c r="C34" s="9">
        <v>134.69999999999999</v>
      </c>
      <c r="D34" s="9">
        <v>15.300000000000002</v>
      </c>
      <c r="E34" s="11">
        <v>30</v>
      </c>
      <c r="F34" s="12">
        <v>304</v>
      </c>
      <c r="G34" s="2">
        <v>1</v>
      </c>
      <c r="H34" s="128">
        <v>122.1</v>
      </c>
      <c r="I34" s="33">
        <v>671.9</v>
      </c>
      <c r="J34" s="7">
        <f>'5c. Customer Count-Connections'!C35</f>
        <v>3126</v>
      </c>
      <c r="K34" s="7">
        <f>'5c. Customer Count-Connections'!D35</f>
        <v>480</v>
      </c>
      <c r="L34" s="7">
        <f>'5c. Customer Count-Connections'!E35</f>
        <v>38</v>
      </c>
      <c r="M34" s="7">
        <f>'5c. Customer Count-Connections'!F35</f>
        <v>5</v>
      </c>
      <c r="N34" s="7">
        <f>'5c. Customer Count-Connections'!G35</f>
        <v>1</v>
      </c>
      <c r="O34" s="7">
        <f>'5c. Customer Count-Connections'!H35</f>
        <v>28</v>
      </c>
      <c r="P34" s="7">
        <f>'5c. Customer Count-Connections'!I35</f>
        <v>898</v>
      </c>
      <c r="Q34" s="7">
        <f t="shared" si="0"/>
        <v>4576</v>
      </c>
      <c r="R34" s="39">
        <v>4216762.1303469995</v>
      </c>
      <c r="S34" s="2">
        <v>33</v>
      </c>
      <c r="T34" s="39">
        <v>177243.72588873032</v>
      </c>
      <c r="V34" s="21">
        <v>33</v>
      </c>
    </row>
    <row r="35" spans="1:22">
      <c r="A35" s="2">
        <v>2012</v>
      </c>
      <c r="B35" s="2" t="s">
        <v>11</v>
      </c>
      <c r="C35" s="9">
        <v>292.2</v>
      </c>
      <c r="D35" s="9">
        <v>0</v>
      </c>
      <c r="E35" s="11">
        <v>31</v>
      </c>
      <c r="F35" s="12">
        <v>352</v>
      </c>
      <c r="G35" s="2">
        <v>1</v>
      </c>
      <c r="H35" s="128">
        <v>122.3</v>
      </c>
      <c r="I35" s="33">
        <v>672.8</v>
      </c>
      <c r="J35" s="7">
        <f>'5c. Customer Count-Connections'!C36</f>
        <v>3128</v>
      </c>
      <c r="K35" s="7">
        <f>'5c. Customer Count-Connections'!D36</f>
        <v>480</v>
      </c>
      <c r="L35" s="7">
        <f>'5c. Customer Count-Connections'!E36</f>
        <v>38</v>
      </c>
      <c r="M35" s="7">
        <f>'5c. Customer Count-Connections'!F36</f>
        <v>5</v>
      </c>
      <c r="N35" s="7">
        <f>'5c. Customer Count-Connections'!G36</f>
        <v>1</v>
      </c>
      <c r="O35" s="7">
        <f>'5c. Customer Count-Connections'!H36</f>
        <v>28</v>
      </c>
      <c r="P35" s="7">
        <f>'5c. Customer Count-Connections'!I36</f>
        <v>898</v>
      </c>
      <c r="Q35" s="7">
        <f t="shared" si="0"/>
        <v>4578</v>
      </c>
      <c r="R35" s="39">
        <v>4599891.7149360003</v>
      </c>
      <c r="S35" s="2">
        <v>34</v>
      </c>
      <c r="T35" s="39">
        <v>180856.36871989889</v>
      </c>
      <c r="V35" s="21">
        <v>34</v>
      </c>
    </row>
    <row r="36" spans="1:22">
      <c r="A36" s="2">
        <v>2012</v>
      </c>
      <c r="B36" s="2" t="s">
        <v>12</v>
      </c>
      <c r="C36" s="9">
        <v>505.72222222222223</v>
      </c>
      <c r="D36" s="9">
        <v>0</v>
      </c>
      <c r="E36" s="11">
        <v>30</v>
      </c>
      <c r="F36" s="12">
        <v>336</v>
      </c>
      <c r="G36" s="2">
        <v>1</v>
      </c>
      <c r="H36" s="128">
        <v>122</v>
      </c>
      <c r="I36" s="33">
        <v>676.8</v>
      </c>
      <c r="J36" s="7">
        <f>'5c. Customer Count-Connections'!C37</f>
        <v>3139</v>
      </c>
      <c r="K36" s="7">
        <f>'5c. Customer Count-Connections'!D37</f>
        <v>480</v>
      </c>
      <c r="L36" s="7">
        <f>'5c. Customer Count-Connections'!E37</f>
        <v>38</v>
      </c>
      <c r="M36" s="7">
        <f>'5c. Customer Count-Connections'!F37</f>
        <v>5</v>
      </c>
      <c r="N36" s="7">
        <f>'5c. Customer Count-Connections'!G37</f>
        <v>1</v>
      </c>
      <c r="O36" s="7">
        <f>'5c. Customer Count-Connections'!H37</f>
        <v>28</v>
      </c>
      <c r="P36" s="7">
        <f>'5c. Customer Count-Connections'!I37</f>
        <v>898</v>
      </c>
      <c r="Q36" s="7">
        <f t="shared" si="0"/>
        <v>4589</v>
      </c>
      <c r="R36" s="39">
        <v>4092980.1542040003</v>
      </c>
      <c r="S36" s="2">
        <v>35</v>
      </c>
      <c r="T36" s="39">
        <v>184187.3830493282</v>
      </c>
      <c r="V36" s="21">
        <v>35</v>
      </c>
    </row>
    <row r="37" spans="1:22">
      <c r="A37" s="2">
        <v>2012</v>
      </c>
      <c r="B37" s="2" t="s">
        <v>13</v>
      </c>
      <c r="C37" s="9">
        <v>590.9</v>
      </c>
      <c r="D37" s="9">
        <v>0</v>
      </c>
      <c r="E37" s="11">
        <v>31</v>
      </c>
      <c r="F37" s="12">
        <v>304</v>
      </c>
      <c r="G37" s="2">
        <v>0</v>
      </c>
      <c r="H37" s="128">
        <v>121.4</v>
      </c>
      <c r="I37" s="33">
        <v>682.7</v>
      </c>
      <c r="J37" s="7">
        <f>'5c. Customer Count-Connections'!C38</f>
        <v>3141</v>
      </c>
      <c r="K37" s="7">
        <f>'5c. Customer Count-Connections'!D38</f>
        <v>479</v>
      </c>
      <c r="L37" s="7">
        <f>'5c. Customer Count-Connections'!E38</f>
        <v>38</v>
      </c>
      <c r="M37" s="7">
        <f>'5c. Customer Count-Connections'!F38</f>
        <v>5</v>
      </c>
      <c r="N37" s="7">
        <f>'5c. Customer Count-Connections'!G38</f>
        <v>3</v>
      </c>
      <c r="O37" s="7">
        <f>'5c. Customer Count-Connections'!H38</f>
        <v>28</v>
      </c>
      <c r="P37" s="7">
        <f>'5c. Customer Count-Connections'!I38</f>
        <v>898</v>
      </c>
      <c r="Q37" s="7">
        <f t="shared" si="0"/>
        <v>4592</v>
      </c>
      <c r="R37" s="39">
        <v>3797850.4767240002</v>
      </c>
      <c r="S37" s="2">
        <v>36</v>
      </c>
      <c r="T37" s="39">
        <v>187518.39737875751</v>
      </c>
      <c r="V37" s="21">
        <v>36</v>
      </c>
    </row>
    <row r="38" spans="1:22">
      <c r="A38" s="2">
        <v>2013</v>
      </c>
      <c r="B38" s="2" t="s">
        <v>2</v>
      </c>
      <c r="C38" s="9">
        <v>703.36666666666667</v>
      </c>
      <c r="D38" s="9">
        <v>0</v>
      </c>
      <c r="E38" s="11">
        <v>31</v>
      </c>
      <c r="F38" s="12">
        <v>352</v>
      </c>
      <c r="G38" s="2">
        <v>0</v>
      </c>
      <c r="H38" s="128">
        <v>121.5</v>
      </c>
      <c r="I38" s="33">
        <v>681.6</v>
      </c>
      <c r="J38" s="7">
        <f>'5c. Customer Count-Connections'!C39</f>
        <v>3146</v>
      </c>
      <c r="K38" s="7">
        <f>'5c. Customer Count-Connections'!D39</f>
        <v>479</v>
      </c>
      <c r="L38" s="7">
        <f>'5c. Customer Count-Connections'!E39</f>
        <v>40</v>
      </c>
      <c r="M38" s="7">
        <f>'5c. Customer Count-Connections'!F39</f>
        <v>5</v>
      </c>
      <c r="N38" s="7">
        <f>'5c. Customer Count-Connections'!G39</f>
        <v>3</v>
      </c>
      <c r="O38" s="7">
        <f>'5c. Customer Count-Connections'!H39</f>
        <v>28</v>
      </c>
      <c r="P38" s="7">
        <f>'5c. Customer Count-Connections'!I39</f>
        <v>898</v>
      </c>
      <c r="Q38" s="7">
        <f t="shared" si="0"/>
        <v>4599</v>
      </c>
      <c r="R38" s="39">
        <v>4525946.9213760002</v>
      </c>
      <c r="S38" s="2">
        <v>37</v>
      </c>
      <c r="T38" s="39">
        <v>189297.6960331352</v>
      </c>
      <c r="V38" s="21">
        <v>37</v>
      </c>
    </row>
    <row r="39" spans="1:22">
      <c r="A39" s="2">
        <v>2013</v>
      </c>
      <c r="B39" s="2" t="s">
        <v>3</v>
      </c>
      <c r="C39" s="9">
        <v>699.59999999999991</v>
      </c>
      <c r="D39" s="9">
        <v>0</v>
      </c>
      <c r="E39" s="11">
        <v>28</v>
      </c>
      <c r="F39" s="12">
        <v>304</v>
      </c>
      <c r="G39" s="2">
        <v>0</v>
      </c>
      <c r="H39" s="128">
        <v>122.9</v>
      </c>
      <c r="I39" s="33">
        <v>682.6</v>
      </c>
      <c r="J39" s="7">
        <f>'5c. Customer Count-Connections'!C40</f>
        <v>3153</v>
      </c>
      <c r="K39" s="7">
        <f>'5c. Customer Count-Connections'!D40</f>
        <v>479</v>
      </c>
      <c r="L39" s="7">
        <f>'5c. Customer Count-Connections'!E40</f>
        <v>40</v>
      </c>
      <c r="M39" s="7">
        <f>'5c. Customer Count-Connections'!F40</f>
        <v>5</v>
      </c>
      <c r="N39" s="7">
        <f>'5c. Customer Count-Connections'!G40</f>
        <v>2</v>
      </c>
      <c r="O39" s="7">
        <f>'5c. Customer Count-Connections'!H40</f>
        <v>28</v>
      </c>
      <c r="P39" s="7">
        <f>'5c. Customer Count-Connections'!I40</f>
        <v>898</v>
      </c>
      <c r="Q39" s="7">
        <f t="shared" si="0"/>
        <v>4605</v>
      </c>
      <c r="R39" s="39">
        <v>4293131.7804840002</v>
      </c>
      <c r="S39" s="2">
        <v>38</v>
      </c>
      <c r="T39" s="39">
        <v>191076.9946875129</v>
      </c>
      <c r="V39" s="21">
        <v>38</v>
      </c>
    </row>
    <row r="40" spans="1:22">
      <c r="A40" s="2">
        <v>2013</v>
      </c>
      <c r="B40" s="2" t="s">
        <v>4</v>
      </c>
      <c r="C40" s="9">
        <v>649</v>
      </c>
      <c r="D40" s="9">
        <v>0</v>
      </c>
      <c r="E40" s="11">
        <v>31</v>
      </c>
      <c r="F40" s="12">
        <v>320</v>
      </c>
      <c r="G40" s="2">
        <v>1</v>
      </c>
      <c r="H40" s="128">
        <v>123.3</v>
      </c>
      <c r="I40" s="33">
        <v>683.6</v>
      </c>
      <c r="J40" s="7">
        <f>'5c. Customer Count-Connections'!C41</f>
        <v>3153</v>
      </c>
      <c r="K40" s="7">
        <f>'5c. Customer Count-Connections'!D41</f>
        <v>475</v>
      </c>
      <c r="L40" s="7">
        <f>'5c. Customer Count-Connections'!E41</f>
        <v>38</v>
      </c>
      <c r="M40" s="7">
        <f>'5c. Customer Count-Connections'!F41</f>
        <v>6</v>
      </c>
      <c r="N40" s="7">
        <f>'5c. Customer Count-Connections'!G41</f>
        <v>2</v>
      </c>
      <c r="O40" s="7">
        <f>'5c. Customer Count-Connections'!H41</f>
        <v>28</v>
      </c>
      <c r="P40" s="7">
        <f>'5c. Customer Count-Connections'!I41</f>
        <v>898</v>
      </c>
      <c r="Q40" s="7">
        <f t="shared" si="0"/>
        <v>4600</v>
      </c>
      <c r="R40" s="39">
        <v>4392825.450348001</v>
      </c>
      <c r="S40" s="2">
        <v>39</v>
      </c>
      <c r="T40" s="39">
        <v>192856.29334189062</v>
      </c>
      <c r="V40" s="21">
        <v>39</v>
      </c>
    </row>
    <row r="41" spans="1:22">
      <c r="A41" s="2">
        <v>2013</v>
      </c>
      <c r="B41" s="2" t="s">
        <v>5</v>
      </c>
      <c r="C41" s="9">
        <v>414.2</v>
      </c>
      <c r="D41" s="9">
        <v>0</v>
      </c>
      <c r="E41" s="11">
        <v>30</v>
      </c>
      <c r="F41" s="12">
        <v>336</v>
      </c>
      <c r="G41" s="2">
        <v>1</v>
      </c>
      <c r="H41" s="128">
        <v>123.1</v>
      </c>
      <c r="I41" s="33">
        <v>685.4</v>
      </c>
      <c r="J41" s="7">
        <f>'5c. Customer Count-Connections'!C42</f>
        <v>3155</v>
      </c>
      <c r="K41" s="7">
        <f>'5c. Customer Count-Connections'!D42</f>
        <v>476</v>
      </c>
      <c r="L41" s="7">
        <f>'5c. Customer Count-Connections'!E42</f>
        <v>38</v>
      </c>
      <c r="M41" s="7">
        <f>'5c. Customer Count-Connections'!F42</f>
        <v>6</v>
      </c>
      <c r="N41" s="7">
        <f>'5c. Customer Count-Connections'!G42</f>
        <v>2</v>
      </c>
      <c r="O41" s="7">
        <f>'5c. Customer Count-Connections'!H42</f>
        <v>28</v>
      </c>
      <c r="P41" s="7">
        <f>'5c. Customer Count-Connections'!I42</f>
        <v>898</v>
      </c>
      <c r="Q41" s="7">
        <f t="shared" si="0"/>
        <v>4603</v>
      </c>
      <c r="R41" s="39">
        <v>4685486.2900200011</v>
      </c>
      <c r="S41" s="2">
        <v>40</v>
      </c>
      <c r="T41" s="39">
        <v>194635.59199626831</v>
      </c>
      <c r="V41" s="21">
        <v>40</v>
      </c>
    </row>
    <row r="42" spans="1:22">
      <c r="A42" s="2">
        <v>2013</v>
      </c>
      <c r="B42" s="2" t="s">
        <v>6</v>
      </c>
      <c r="C42" s="9">
        <v>160.66666666666669</v>
      </c>
      <c r="D42" s="9">
        <v>18.7</v>
      </c>
      <c r="E42" s="11">
        <v>31</v>
      </c>
      <c r="F42" s="12">
        <v>352</v>
      </c>
      <c r="G42" s="2">
        <v>1</v>
      </c>
      <c r="H42" s="128">
        <v>123.2</v>
      </c>
      <c r="I42" s="33">
        <v>690.3</v>
      </c>
      <c r="J42" s="7">
        <f>'5c. Customer Count-Connections'!C43</f>
        <v>3156</v>
      </c>
      <c r="K42" s="7">
        <f>'5c. Customer Count-Connections'!D43</f>
        <v>475</v>
      </c>
      <c r="L42" s="7">
        <f>'5c. Customer Count-Connections'!E43</f>
        <v>38</v>
      </c>
      <c r="M42" s="7">
        <f>'5c. Customer Count-Connections'!F43</f>
        <v>6</v>
      </c>
      <c r="N42" s="7">
        <f>'5c. Customer Count-Connections'!G43</f>
        <v>2</v>
      </c>
      <c r="O42" s="7">
        <f>'5c. Customer Count-Connections'!H43</f>
        <v>28</v>
      </c>
      <c r="P42" s="7">
        <f>'5c. Customer Count-Connections'!I43</f>
        <v>898</v>
      </c>
      <c r="Q42" s="7">
        <f t="shared" si="0"/>
        <v>4603</v>
      </c>
      <c r="R42" s="39">
        <v>4795234.6969560003</v>
      </c>
      <c r="S42" s="2">
        <v>41</v>
      </c>
      <c r="T42" s="39">
        <v>196414.890650646</v>
      </c>
      <c r="V42" s="21">
        <v>41</v>
      </c>
    </row>
    <row r="43" spans="1:22">
      <c r="A43" s="2">
        <v>2013</v>
      </c>
      <c r="B43" s="2" t="s">
        <v>7</v>
      </c>
      <c r="C43" s="9">
        <v>67.399999999999991</v>
      </c>
      <c r="D43" s="9">
        <v>35.000000000000007</v>
      </c>
      <c r="E43" s="11">
        <v>30</v>
      </c>
      <c r="F43" s="12">
        <v>320</v>
      </c>
      <c r="G43" s="2">
        <v>0</v>
      </c>
      <c r="H43" s="128">
        <v>123.4</v>
      </c>
      <c r="I43" s="33">
        <v>696.7</v>
      </c>
      <c r="J43" s="7">
        <f>'5c. Customer Count-Connections'!C44</f>
        <v>3157</v>
      </c>
      <c r="K43" s="7">
        <f>'5c. Customer Count-Connections'!D44</f>
        <v>473</v>
      </c>
      <c r="L43" s="7">
        <f>'5c. Customer Count-Connections'!E44</f>
        <v>38</v>
      </c>
      <c r="M43" s="7">
        <f>'5c. Customer Count-Connections'!F44</f>
        <v>6</v>
      </c>
      <c r="N43" s="7">
        <f>'5c. Customer Count-Connections'!G44</f>
        <v>1</v>
      </c>
      <c r="O43" s="7">
        <f>'5c. Customer Count-Connections'!H44</f>
        <v>28</v>
      </c>
      <c r="P43" s="7">
        <f>'5c. Customer Count-Connections'!I44</f>
        <v>898</v>
      </c>
      <c r="Q43" s="7">
        <f t="shared" si="0"/>
        <v>4601</v>
      </c>
      <c r="R43" s="39">
        <v>4516928.1643200004</v>
      </c>
      <c r="S43" s="2">
        <v>42</v>
      </c>
      <c r="T43" s="39">
        <v>198194.18930502373</v>
      </c>
      <c r="V43" s="21">
        <v>42</v>
      </c>
    </row>
    <row r="44" spans="1:22">
      <c r="A44" s="2">
        <v>2013</v>
      </c>
      <c r="B44" s="2" t="s">
        <v>8</v>
      </c>
      <c r="C44" s="9">
        <v>19.599999999999998</v>
      </c>
      <c r="D44" s="9">
        <v>75.899999999999991</v>
      </c>
      <c r="E44" s="11">
        <v>31</v>
      </c>
      <c r="F44" s="12">
        <v>352</v>
      </c>
      <c r="G44" s="2">
        <v>0</v>
      </c>
      <c r="H44" s="128">
        <v>123.6</v>
      </c>
      <c r="I44" s="33">
        <v>702.8</v>
      </c>
      <c r="J44" s="7">
        <f>'5c. Customer Count-Connections'!C45</f>
        <v>3161</v>
      </c>
      <c r="K44" s="7">
        <f>'5c. Customer Count-Connections'!D45</f>
        <v>473</v>
      </c>
      <c r="L44" s="7">
        <f>'5c. Customer Count-Connections'!E45</f>
        <v>38</v>
      </c>
      <c r="M44" s="7">
        <f>'5c. Customer Count-Connections'!F45</f>
        <v>6</v>
      </c>
      <c r="N44" s="7">
        <f>'5c. Customer Count-Connections'!G45</f>
        <v>1</v>
      </c>
      <c r="O44" s="7">
        <f>'5c. Customer Count-Connections'!H45</f>
        <v>28</v>
      </c>
      <c r="P44" s="7">
        <f>'5c. Customer Count-Connections'!I45</f>
        <v>898</v>
      </c>
      <c r="Q44" s="7">
        <f t="shared" si="0"/>
        <v>4605</v>
      </c>
      <c r="R44" s="39">
        <v>4372227.4551960006</v>
      </c>
      <c r="S44" s="2">
        <v>43</v>
      </c>
      <c r="T44" s="39">
        <v>199973.48795940142</v>
      </c>
      <c r="V44" s="21">
        <v>43</v>
      </c>
    </row>
    <row r="45" spans="1:22">
      <c r="A45" s="2">
        <v>2013</v>
      </c>
      <c r="B45" s="2" t="s">
        <v>9</v>
      </c>
      <c r="C45" s="9">
        <v>33.9</v>
      </c>
      <c r="D45" s="9">
        <v>34.5</v>
      </c>
      <c r="E45" s="11">
        <v>31</v>
      </c>
      <c r="F45" s="12">
        <v>336</v>
      </c>
      <c r="G45" s="2">
        <v>0</v>
      </c>
      <c r="H45" s="128">
        <v>123.7</v>
      </c>
      <c r="I45" s="33">
        <v>701.4</v>
      </c>
      <c r="J45" s="7">
        <f>'5c. Customer Count-Connections'!C46</f>
        <v>3165</v>
      </c>
      <c r="K45" s="7">
        <f>'5c. Customer Count-Connections'!D46</f>
        <v>472</v>
      </c>
      <c r="L45" s="7">
        <f>'5c. Customer Count-Connections'!E46</f>
        <v>38</v>
      </c>
      <c r="M45" s="7">
        <f>'5c. Customer Count-Connections'!F46</f>
        <v>6</v>
      </c>
      <c r="N45" s="7">
        <f>'5c. Customer Count-Connections'!G46</f>
        <v>1</v>
      </c>
      <c r="O45" s="7">
        <f>'5c. Customer Count-Connections'!H46</f>
        <v>28</v>
      </c>
      <c r="P45" s="7">
        <f>'5c. Customer Count-Connections'!I46</f>
        <v>898</v>
      </c>
      <c r="Q45" s="7">
        <f t="shared" si="0"/>
        <v>4608</v>
      </c>
      <c r="R45" s="39">
        <v>4771016.3547840007</v>
      </c>
      <c r="S45" s="2">
        <v>44</v>
      </c>
      <c r="T45" s="39">
        <v>201752.78661377911</v>
      </c>
      <c r="V45" s="21">
        <v>44</v>
      </c>
    </row>
    <row r="46" spans="1:22">
      <c r="A46" s="2">
        <v>2013</v>
      </c>
      <c r="B46" s="2" t="s">
        <v>10</v>
      </c>
      <c r="C46" s="9">
        <v>133.1</v>
      </c>
      <c r="D46" s="9">
        <v>17.2</v>
      </c>
      <c r="E46" s="11">
        <v>30</v>
      </c>
      <c r="F46" s="12">
        <v>320</v>
      </c>
      <c r="G46" s="2">
        <v>1</v>
      </c>
      <c r="H46" s="128">
        <v>123.8</v>
      </c>
      <c r="I46" s="33">
        <v>698.4</v>
      </c>
      <c r="J46" s="7">
        <f>'5c. Customer Count-Connections'!C47</f>
        <v>3166</v>
      </c>
      <c r="K46" s="7">
        <f>'5c. Customer Count-Connections'!D47</f>
        <v>472</v>
      </c>
      <c r="L46" s="7">
        <f>'5c. Customer Count-Connections'!E47</f>
        <v>38</v>
      </c>
      <c r="M46" s="7">
        <f>'5c. Customer Count-Connections'!F47</f>
        <v>6</v>
      </c>
      <c r="N46" s="7">
        <f>'5c. Customer Count-Connections'!G47</f>
        <v>1</v>
      </c>
      <c r="O46" s="7">
        <f>'5c. Customer Count-Connections'!H47</f>
        <v>28</v>
      </c>
      <c r="P46" s="7">
        <f>'5c. Customer Count-Connections'!I47</f>
        <v>898</v>
      </c>
      <c r="Q46" s="7">
        <f t="shared" si="0"/>
        <v>4609</v>
      </c>
      <c r="R46" s="39">
        <v>4513364.5799520016</v>
      </c>
      <c r="S46" s="2">
        <v>45</v>
      </c>
      <c r="T46" s="39">
        <v>203532.08526815681</v>
      </c>
      <c r="V46" s="21">
        <v>45</v>
      </c>
    </row>
    <row r="47" spans="1:22">
      <c r="A47" s="2">
        <v>2013</v>
      </c>
      <c r="B47" s="2" t="s">
        <v>11</v>
      </c>
      <c r="C47" s="9">
        <v>270.68888888888893</v>
      </c>
      <c r="D47" s="9">
        <v>0</v>
      </c>
      <c r="E47" s="11">
        <v>31</v>
      </c>
      <c r="F47" s="12">
        <v>352</v>
      </c>
      <c r="G47" s="2">
        <v>1</v>
      </c>
      <c r="H47" s="128">
        <v>123.7</v>
      </c>
      <c r="I47" s="33">
        <v>698.4</v>
      </c>
      <c r="J47" s="7">
        <f>'5c. Customer Count-Connections'!C48</f>
        <v>3169</v>
      </c>
      <c r="K47" s="7">
        <f>'5c. Customer Count-Connections'!D48</f>
        <v>473</v>
      </c>
      <c r="L47" s="7">
        <f>'5c. Customer Count-Connections'!E48</f>
        <v>38</v>
      </c>
      <c r="M47" s="7">
        <f>'5c. Customer Count-Connections'!F48</f>
        <v>6</v>
      </c>
      <c r="N47" s="7">
        <f>'5c. Customer Count-Connections'!G48</f>
        <v>1</v>
      </c>
      <c r="O47" s="7">
        <f>'5c. Customer Count-Connections'!H48</f>
        <v>28</v>
      </c>
      <c r="P47" s="7">
        <f>'5c. Customer Count-Connections'!I48</f>
        <v>904</v>
      </c>
      <c r="Q47" s="7">
        <f t="shared" si="0"/>
        <v>4619</v>
      </c>
      <c r="R47" s="39">
        <v>4880786.5687800003</v>
      </c>
      <c r="S47" s="2">
        <v>46</v>
      </c>
      <c r="T47" s="39">
        <v>205311.38392253453</v>
      </c>
      <c r="V47" s="21">
        <v>46</v>
      </c>
    </row>
    <row r="48" spans="1:22">
      <c r="A48" s="2">
        <v>2013</v>
      </c>
      <c r="B48" s="2" t="s">
        <v>12</v>
      </c>
      <c r="C48" s="9">
        <v>557.36666666666667</v>
      </c>
      <c r="D48" s="9">
        <v>0</v>
      </c>
      <c r="E48" s="11">
        <v>30</v>
      </c>
      <c r="F48" s="12">
        <v>272</v>
      </c>
      <c r="G48" s="2">
        <v>1</v>
      </c>
      <c r="H48" s="128">
        <v>123.6</v>
      </c>
      <c r="I48" s="33">
        <v>700</v>
      </c>
      <c r="J48" s="7">
        <f>'5c. Customer Count-Connections'!C49</f>
        <v>3167</v>
      </c>
      <c r="K48" s="7">
        <f>'5c. Customer Count-Connections'!D49</f>
        <v>472</v>
      </c>
      <c r="L48" s="7">
        <f>'5c. Customer Count-Connections'!E49</f>
        <v>39</v>
      </c>
      <c r="M48" s="7">
        <f>'5c. Customer Count-Connections'!F49</f>
        <v>6</v>
      </c>
      <c r="N48" s="7">
        <f>'5c. Customer Count-Connections'!G49</f>
        <v>1</v>
      </c>
      <c r="O48" s="7">
        <f>'5c. Customer Count-Connections'!H49</f>
        <v>28</v>
      </c>
      <c r="P48" s="7">
        <f>'5c. Customer Count-Connections'!I49</f>
        <v>904</v>
      </c>
      <c r="Q48" s="7">
        <f t="shared" si="0"/>
        <v>4617</v>
      </c>
      <c r="R48" s="39">
        <v>4552412.9659799999</v>
      </c>
      <c r="S48" s="2">
        <v>47</v>
      </c>
      <c r="T48" s="39">
        <v>207090.68257691222</v>
      </c>
      <c r="V48" s="21">
        <v>47</v>
      </c>
    </row>
    <row r="49" spans="1:22">
      <c r="A49" s="2">
        <v>2013</v>
      </c>
      <c r="B49" s="2" t="s">
        <v>13</v>
      </c>
      <c r="C49" s="9">
        <v>767.19999999999993</v>
      </c>
      <c r="D49" s="9">
        <v>0</v>
      </c>
      <c r="E49" s="11">
        <v>31</v>
      </c>
      <c r="F49" s="12">
        <v>320</v>
      </c>
      <c r="G49" s="2">
        <v>0</v>
      </c>
      <c r="H49" s="128">
        <v>123.4</v>
      </c>
      <c r="I49" s="33">
        <v>695.4</v>
      </c>
      <c r="J49" s="7">
        <f>'5c. Customer Count-Connections'!C50</f>
        <v>3178</v>
      </c>
      <c r="K49" s="7">
        <f>'5c. Customer Count-Connections'!D50</f>
        <v>472</v>
      </c>
      <c r="L49" s="7">
        <f>'5c. Customer Count-Connections'!E50</f>
        <v>38</v>
      </c>
      <c r="M49" s="7">
        <f>'5c. Customer Count-Connections'!F50</f>
        <v>6</v>
      </c>
      <c r="N49" s="7">
        <f>'5c. Customer Count-Connections'!G50</f>
        <v>2</v>
      </c>
      <c r="O49" s="7">
        <f>'5c. Customer Count-Connections'!H50</f>
        <v>28</v>
      </c>
      <c r="P49" s="7">
        <f>'5c. Customer Count-Connections'!I50</f>
        <v>904</v>
      </c>
      <c r="Q49" s="7">
        <f t="shared" si="0"/>
        <v>4628</v>
      </c>
      <c r="R49" s="39">
        <v>4004842.5651600002</v>
      </c>
      <c r="S49" s="2">
        <v>48</v>
      </c>
      <c r="T49" s="39">
        <v>208869.98123128992</v>
      </c>
      <c r="V49" s="21">
        <v>48</v>
      </c>
    </row>
    <row r="50" spans="1:22">
      <c r="A50" s="2">
        <v>2014</v>
      </c>
      <c r="B50" s="2" t="s">
        <v>2</v>
      </c>
      <c r="C50" s="9">
        <v>899.69999999999982</v>
      </c>
      <c r="D50" s="9">
        <v>0</v>
      </c>
      <c r="E50" s="11">
        <v>31</v>
      </c>
      <c r="F50" s="12">
        <v>352</v>
      </c>
      <c r="G50" s="2">
        <v>0</v>
      </c>
      <c r="H50" s="128">
        <v>123.7</v>
      </c>
      <c r="I50" s="33">
        <v>689.4</v>
      </c>
      <c r="J50" s="7">
        <f>'5c. Customer Count-Connections'!C51</f>
        <v>3166</v>
      </c>
      <c r="K50" s="7">
        <f>'5c. Customer Count-Connections'!D51</f>
        <v>472</v>
      </c>
      <c r="L50" s="7">
        <f>'5c. Customer Count-Connections'!E51</f>
        <v>39</v>
      </c>
      <c r="M50" s="7">
        <f>'5c. Customer Count-Connections'!F51</f>
        <v>6</v>
      </c>
      <c r="N50" s="7">
        <f>'5c. Customer Count-Connections'!G51</f>
        <v>3</v>
      </c>
      <c r="O50" s="7">
        <f>'5c. Customer Count-Connections'!H51</f>
        <v>28</v>
      </c>
      <c r="P50" s="7">
        <f>'5c. Customer Count-Connections'!I51</f>
        <v>905</v>
      </c>
      <c r="Q50" s="7">
        <f t="shared" si="0"/>
        <v>4619</v>
      </c>
      <c r="R50" s="39">
        <v>4667489.5395720005</v>
      </c>
      <c r="S50" s="2">
        <v>49</v>
      </c>
      <c r="T50" s="39">
        <v>211077.46510458333</v>
      </c>
      <c r="V50" s="21">
        <v>49</v>
      </c>
    </row>
    <row r="51" spans="1:22">
      <c r="A51" s="2">
        <v>2014</v>
      </c>
      <c r="B51" s="2" t="s">
        <v>3</v>
      </c>
      <c r="C51" s="9">
        <v>820.9666666666667</v>
      </c>
      <c r="D51" s="9">
        <v>0</v>
      </c>
      <c r="E51" s="11">
        <v>28</v>
      </c>
      <c r="F51" s="12">
        <v>304</v>
      </c>
      <c r="G51" s="2">
        <v>0</v>
      </c>
      <c r="H51" s="128">
        <v>125</v>
      </c>
      <c r="I51" s="33">
        <v>682.3</v>
      </c>
      <c r="J51" s="7">
        <f>'5c. Customer Count-Connections'!C52</f>
        <v>3178</v>
      </c>
      <c r="K51" s="7">
        <f>'5c. Customer Count-Connections'!D52</f>
        <v>471</v>
      </c>
      <c r="L51" s="7">
        <f>'5c. Customer Count-Connections'!E52</f>
        <v>39</v>
      </c>
      <c r="M51" s="7">
        <f>'5c. Customer Count-Connections'!F52</f>
        <v>6</v>
      </c>
      <c r="N51" s="7">
        <f>'5c. Customer Count-Connections'!G52</f>
        <v>1</v>
      </c>
      <c r="O51" s="7">
        <f>'5c. Customer Count-Connections'!H52</f>
        <v>28</v>
      </c>
      <c r="P51" s="7">
        <f>'5c. Customer Count-Connections'!I52</f>
        <v>905</v>
      </c>
      <c r="Q51" s="7">
        <f t="shared" si="0"/>
        <v>4628</v>
      </c>
      <c r="R51" s="39">
        <v>4342400.5729440004</v>
      </c>
      <c r="S51" s="2">
        <v>50</v>
      </c>
      <c r="T51" s="39">
        <v>213284.94897787675</v>
      </c>
      <c r="V51" s="21">
        <v>50</v>
      </c>
    </row>
    <row r="52" spans="1:22">
      <c r="A52" s="2">
        <v>2014</v>
      </c>
      <c r="B52" s="2" t="s">
        <v>4</v>
      </c>
      <c r="C52" s="9">
        <v>767.15555555555545</v>
      </c>
      <c r="D52" s="9">
        <v>0</v>
      </c>
      <c r="E52" s="11">
        <v>31</v>
      </c>
      <c r="F52" s="12">
        <v>336</v>
      </c>
      <c r="G52" s="2">
        <v>1</v>
      </c>
      <c r="H52" s="128">
        <v>125.5</v>
      </c>
      <c r="I52" s="33">
        <v>680.2</v>
      </c>
      <c r="J52" s="7">
        <f>'5c. Customer Count-Connections'!C53</f>
        <v>3177</v>
      </c>
      <c r="K52" s="7">
        <f>'5c. Customer Count-Connections'!D53</f>
        <v>471</v>
      </c>
      <c r="L52" s="7">
        <f>'5c. Customer Count-Connections'!E53</f>
        <v>39</v>
      </c>
      <c r="M52" s="7">
        <f>'5c. Customer Count-Connections'!F53</f>
        <v>6</v>
      </c>
      <c r="N52" s="7">
        <f>'5c. Customer Count-Connections'!G53</f>
        <v>1</v>
      </c>
      <c r="O52" s="7">
        <f>'5c. Customer Count-Connections'!H53</f>
        <v>28</v>
      </c>
      <c r="P52" s="7">
        <f>'5c. Customer Count-Connections'!I53</f>
        <v>905</v>
      </c>
      <c r="Q52" s="7">
        <f t="shared" si="0"/>
        <v>4627</v>
      </c>
      <c r="R52" s="39">
        <v>4788788.5728840008</v>
      </c>
      <c r="S52" s="2">
        <v>51</v>
      </c>
      <c r="T52" s="39">
        <v>215492.43285117013</v>
      </c>
      <c r="V52" s="21">
        <v>51</v>
      </c>
    </row>
    <row r="53" spans="1:22">
      <c r="A53" s="2">
        <v>2014</v>
      </c>
      <c r="B53" s="2" t="s">
        <v>5</v>
      </c>
      <c r="C53" s="9">
        <v>423.06666666666666</v>
      </c>
      <c r="D53" s="9">
        <v>0</v>
      </c>
      <c r="E53" s="11">
        <v>30</v>
      </c>
      <c r="F53" s="12">
        <v>320</v>
      </c>
      <c r="G53" s="2">
        <v>1</v>
      </c>
      <c r="H53" s="128">
        <v>126.4</v>
      </c>
      <c r="I53" s="33">
        <v>679.4</v>
      </c>
      <c r="J53" s="7">
        <f>'5c. Customer Count-Connections'!C54</f>
        <v>3173</v>
      </c>
      <c r="K53" s="7">
        <f>'5c. Customer Count-Connections'!D54</f>
        <v>471</v>
      </c>
      <c r="L53" s="7">
        <f>'5c. Customer Count-Connections'!E54</f>
        <v>39</v>
      </c>
      <c r="M53" s="7">
        <f>'5c. Customer Count-Connections'!F54</f>
        <v>6</v>
      </c>
      <c r="N53" s="7">
        <f>'5c. Customer Count-Connections'!G54</f>
        <v>1</v>
      </c>
      <c r="O53" s="7">
        <f>'5c. Customer Count-Connections'!H54</f>
        <v>28</v>
      </c>
      <c r="P53" s="7">
        <f>'5c. Customer Count-Connections'!I54</f>
        <v>905</v>
      </c>
      <c r="Q53" s="7">
        <f t="shared" si="0"/>
        <v>4623</v>
      </c>
      <c r="R53" s="39">
        <v>4624196.0958720008</v>
      </c>
      <c r="S53" s="2">
        <v>52</v>
      </c>
      <c r="T53" s="39">
        <v>217699.91672446355</v>
      </c>
      <c r="V53" s="21">
        <v>52</v>
      </c>
    </row>
    <row r="54" spans="1:22">
      <c r="A54" s="2">
        <v>2014</v>
      </c>
      <c r="B54" s="2" t="s">
        <v>6</v>
      </c>
      <c r="C54" s="9">
        <v>185.6</v>
      </c>
      <c r="D54" s="9">
        <v>7.6000000000000005</v>
      </c>
      <c r="E54" s="11">
        <v>31</v>
      </c>
      <c r="F54" s="12">
        <v>336</v>
      </c>
      <c r="G54" s="2">
        <v>1</v>
      </c>
      <c r="H54" s="128">
        <v>127</v>
      </c>
      <c r="I54" s="33">
        <v>690</v>
      </c>
      <c r="J54" s="7">
        <f>'5c. Customer Count-Connections'!C55</f>
        <v>3183</v>
      </c>
      <c r="K54" s="7">
        <f>'5c. Customer Count-Connections'!D55</f>
        <v>471</v>
      </c>
      <c r="L54" s="7">
        <f>'5c. Customer Count-Connections'!E55</f>
        <v>39</v>
      </c>
      <c r="M54" s="7">
        <f>'5c. Customer Count-Connections'!F55</f>
        <v>6</v>
      </c>
      <c r="N54" s="7">
        <f>'5c. Customer Count-Connections'!G55</f>
        <v>1</v>
      </c>
      <c r="O54" s="7">
        <f>'5c. Customer Count-Connections'!H55</f>
        <v>28</v>
      </c>
      <c r="P54" s="7">
        <f>'5c. Customer Count-Connections'!I55</f>
        <v>905</v>
      </c>
      <c r="Q54" s="7">
        <f t="shared" si="0"/>
        <v>4633</v>
      </c>
      <c r="R54" s="39">
        <v>4967134.5322440006</v>
      </c>
      <c r="S54" s="2">
        <v>53</v>
      </c>
      <c r="T54" s="39">
        <v>219907.40059775696</v>
      </c>
      <c r="V54" s="21">
        <v>53</v>
      </c>
    </row>
    <row r="55" spans="1:22">
      <c r="A55" s="2">
        <v>2014</v>
      </c>
      <c r="B55" s="2" t="s">
        <v>7</v>
      </c>
      <c r="C55" s="9">
        <v>35.999999999999993</v>
      </c>
      <c r="D55" s="9">
        <v>44</v>
      </c>
      <c r="E55" s="11">
        <v>30</v>
      </c>
      <c r="F55" s="12">
        <v>336</v>
      </c>
      <c r="G55" s="2">
        <v>0</v>
      </c>
      <c r="H55" s="128">
        <v>127.4</v>
      </c>
      <c r="I55" s="33">
        <v>704.4</v>
      </c>
      <c r="J55" s="7">
        <f>'5c. Customer Count-Connections'!C56</f>
        <v>3185</v>
      </c>
      <c r="K55" s="7">
        <f>'5c. Customer Count-Connections'!D56</f>
        <v>470</v>
      </c>
      <c r="L55" s="7">
        <f>'5c. Customer Count-Connections'!E56</f>
        <v>39</v>
      </c>
      <c r="M55" s="7">
        <f>'5c. Customer Count-Connections'!F56</f>
        <v>6</v>
      </c>
      <c r="N55" s="7">
        <f>'5c. Customer Count-Connections'!G56</f>
        <v>1</v>
      </c>
      <c r="O55" s="7">
        <f>'5c. Customer Count-Connections'!H56</f>
        <v>28</v>
      </c>
      <c r="P55" s="7">
        <f>'5c. Customer Count-Connections'!I56</f>
        <v>905</v>
      </c>
      <c r="Q55" s="7">
        <f t="shared" si="0"/>
        <v>4634</v>
      </c>
      <c r="R55" s="39">
        <v>4578201.0414120005</v>
      </c>
      <c r="S55" s="2">
        <v>54</v>
      </c>
      <c r="T55" s="39">
        <v>222114.88447105035</v>
      </c>
      <c r="V55" s="21">
        <v>54</v>
      </c>
    </row>
    <row r="56" spans="1:22">
      <c r="A56" s="2">
        <v>2014</v>
      </c>
      <c r="B56" s="2" t="s">
        <v>8</v>
      </c>
      <c r="C56" s="9">
        <v>59.100000000000009</v>
      </c>
      <c r="D56" s="9">
        <v>25.700000000000003</v>
      </c>
      <c r="E56" s="11">
        <v>31</v>
      </c>
      <c r="F56" s="12">
        <v>352</v>
      </c>
      <c r="G56" s="2">
        <v>0</v>
      </c>
      <c r="H56" s="128">
        <v>126.9</v>
      </c>
      <c r="I56" s="33">
        <v>715.1</v>
      </c>
      <c r="J56" s="7">
        <f>'5c. Customer Count-Connections'!C57</f>
        <v>3182</v>
      </c>
      <c r="K56" s="7">
        <f>'5c. Customer Count-Connections'!D57</f>
        <v>472</v>
      </c>
      <c r="L56" s="7">
        <f>'5c. Customer Count-Connections'!E57</f>
        <v>39</v>
      </c>
      <c r="M56" s="7">
        <f>'5c. Customer Count-Connections'!F57</f>
        <v>6</v>
      </c>
      <c r="N56" s="7">
        <f>'5c. Customer Count-Connections'!G57</f>
        <v>1</v>
      </c>
      <c r="O56" s="7">
        <f>'5c. Customer Count-Connections'!H57</f>
        <v>28</v>
      </c>
      <c r="P56" s="7">
        <f>'5c. Customer Count-Connections'!I57</f>
        <v>905</v>
      </c>
      <c r="Q56" s="7">
        <f t="shared" si="0"/>
        <v>4633</v>
      </c>
      <c r="R56" s="39">
        <v>4518532.7781600012</v>
      </c>
      <c r="S56" s="2">
        <v>55</v>
      </c>
      <c r="T56" s="39">
        <v>224322.36834434376</v>
      </c>
      <c r="V56" s="21">
        <v>55</v>
      </c>
    </row>
    <row r="57" spans="1:22">
      <c r="A57" s="2">
        <v>2014</v>
      </c>
      <c r="B57" s="2" t="s">
        <v>9</v>
      </c>
      <c r="C57" s="9">
        <v>40.5</v>
      </c>
      <c r="D57" s="9">
        <v>32.400000000000006</v>
      </c>
      <c r="E57" s="11">
        <v>31</v>
      </c>
      <c r="F57" s="12">
        <v>320</v>
      </c>
      <c r="G57" s="2">
        <v>0</v>
      </c>
      <c r="H57" s="128">
        <v>126.9</v>
      </c>
      <c r="I57" s="33">
        <v>718.7</v>
      </c>
      <c r="J57" s="7">
        <f>'5c. Customer Count-Connections'!C58</f>
        <v>3206</v>
      </c>
      <c r="K57" s="7">
        <f>'5c. Customer Count-Connections'!D58</f>
        <v>474</v>
      </c>
      <c r="L57" s="7">
        <f>'5c. Customer Count-Connections'!E58</f>
        <v>39</v>
      </c>
      <c r="M57" s="7">
        <f>'5c. Customer Count-Connections'!F58</f>
        <v>6</v>
      </c>
      <c r="N57" s="7">
        <f>'5c. Customer Count-Connections'!G58</f>
        <v>1</v>
      </c>
      <c r="O57" s="7">
        <f>'5c. Customer Count-Connections'!H58</f>
        <v>28</v>
      </c>
      <c r="P57" s="7">
        <f>'5c. Customer Count-Connections'!I58</f>
        <v>905</v>
      </c>
      <c r="Q57" s="7">
        <f t="shared" si="0"/>
        <v>4659</v>
      </c>
      <c r="R57" s="39">
        <v>4873161.1167599997</v>
      </c>
      <c r="S57" s="2">
        <v>56</v>
      </c>
      <c r="T57" s="39">
        <v>226529.85221763718</v>
      </c>
      <c r="V57" s="21">
        <v>56</v>
      </c>
    </row>
    <row r="58" spans="1:22">
      <c r="A58" s="2">
        <v>2014</v>
      </c>
      <c r="B58" s="2" t="s">
        <v>10</v>
      </c>
      <c r="C58" s="9">
        <v>117.19999999999999</v>
      </c>
      <c r="D58" s="9">
        <v>12.399999999999999</v>
      </c>
      <c r="E58" s="11">
        <v>30</v>
      </c>
      <c r="F58" s="12">
        <v>336</v>
      </c>
      <c r="G58" s="2">
        <v>1</v>
      </c>
      <c r="H58" s="128">
        <v>127.2</v>
      </c>
      <c r="I58" s="33">
        <v>719.3</v>
      </c>
      <c r="J58" s="7">
        <f>'5c. Customer Count-Connections'!C59</f>
        <v>3204</v>
      </c>
      <c r="K58" s="7">
        <f>'5c. Customer Count-Connections'!D59</f>
        <v>475</v>
      </c>
      <c r="L58" s="7">
        <f>'5c. Customer Count-Connections'!E59</f>
        <v>39</v>
      </c>
      <c r="M58" s="7">
        <f>'5c. Customer Count-Connections'!F59</f>
        <v>6</v>
      </c>
      <c r="N58" s="7">
        <f>'5c. Customer Count-Connections'!G59</f>
        <v>1</v>
      </c>
      <c r="O58" s="7">
        <f>'5c. Customer Count-Connections'!H59</f>
        <v>28</v>
      </c>
      <c r="P58" s="7">
        <f>'5c. Customer Count-Connections'!I59</f>
        <v>905</v>
      </c>
      <c r="Q58" s="7">
        <f t="shared" si="0"/>
        <v>4658</v>
      </c>
      <c r="R58" s="39">
        <v>4845022.72248</v>
      </c>
      <c r="S58" s="2">
        <v>57</v>
      </c>
      <c r="T58" s="39">
        <v>228737.33609093056</v>
      </c>
      <c r="V58" s="21">
        <v>57</v>
      </c>
    </row>
    <row r="59" spans="1:22">
      <c r="A59" s="2">
        <v>2014</v>
      </c>
      <c r="B59" s="2" t="s">
        <v>11</v>
      </c>
      <c r="C59" s="9">
        <v>292.40000000000003</v>
      </c>
      <c r="D59" s="9">
        <v>0</v>
      </c>
      <c r="E59" s="11">
        <v>31</v>
      </c>
      <c r="F59" s="12">
        <v>352</v>
      </c>
      <c r="G59" s="2">
        <v>1</v>
      </c>
      <c r="H59" s="128">
        <v>127.4</v>
      </c>
      <c r="I59" s="33">
        <v>723.5</v>
      </c>
      <c r="J59" s="7">
        <f>'5c. Customer Count-Connections'!C60</f>
        <v>3208</v>
      </c>
      <c r="K59" s="7">
        <f>'5c. Customer Count-Connections'!D60</f>
        <v>474</v>
      </c>
      <c r="L59" s="7">
        <f>'5c. Customer Count-Connections'!E60</f>
        <v>39</v>
      </c>
      <c r="M59" s="7">
        <f>'5c. Customer Count-Connections'!F60</f>
        <v>6</v>
      </c>
      <c r="N59" s="7">
        <f>'5c. Customer Count-Connections'!G60</f>
        <v>1</v>
      </c>
      <c r="O59" s="7">
        <f>'5c. Customer Count-Connections'!H60</f>
        <v>28</v>
      </c>
      <c r="P59" s="7">
        <f>'5c. Customer Count-Connections'!I60</f>
        <v>905</v>
      </c>
      <c r="Q59" s="7">
        <f t="shared" si="0"/>
        <v>4661</v>
      </c>
      <c r="R59" s="39">
        <v>4964576.7409200007</v>
      </c>
      <c r="S59" s="2">
        <v>58</v>
      </c>
      <c r="T59" s="39">
        <v>230944.81996422398</v>
      </c>
      <c r="V59" s="21">
        <v>58</v>
      </c>
    </row>
    <row r="60" spans="1:22">
      <c r="A60" s="2">
        <v>2014</v>
      </c>
      <c r="B60" s="2" t="s">
        <v>12</v>
      </c>
      <c r="C60" s="9">
        <v>548.06666666666661</v>
      </c>
      <c r="D60" s="9">
        <v>0</v>
      </c>
      <c r="E60" s="11">
        <v>30</v>
      </c>
      <c r="F60" s="12">
        <v>304</v>
      </c>
      <c r="G60" s="2">
        <v>1</v>
      </c>
      <c r="H60" s="128">
        <v>126.9</v>
      </c>
      <c r="I60" s="33">
        <v>721</v>
      </c>
      <c r="J60" s="7">
        <f>'5c. Customer Count-Connections'!C61</f>
        <v>3210</v>
      </c>
      <c r="K60" s="7">
        <f>'5c. Customer Count-Connections'!D61</f>
        <v>478</v>
      </c>
      <c r="L60" s="7">
        <f>'5c. Customer Count-Connections'!E61</f>
        <v>35</v>
      </c>
      <c r="M60" s="7">
        <f>'5c. Customer Count-Connections'!F61</f>
        <v>5</v>
      </c>
      <c r="N60" s="7">
        <f>'5c. Customer Count-Connections'!G61</f>
        <v>1</v>
      </c>
      <c r="O60" s="7">
        <f>'5c. Customer Count-Connections'!H61</f>
        <v>28</v>
      </c>
      <c r="P60" s="7">
        <f>'5c. Customer Count-Connections'!I61</f>
        <v>905</v>
      </c>
      <c r="Q60" s="7">
        <f t="shared" si="0"/>
        <v>4662</v>
      </c>
      <c r="R60" s="39">
        <v>4377795.0494400002</v>
      </c>
      <c r="S60" s="2">
        <v>59</v>
      </c>
      <c r="T60" s="39">
        <v>233152.30383751736</v>
      </c>
      <c r="V60" s="21">
        <v>59</v>
      </c>
    </row>
    <row r="61" spans="1:22">
      <c r="A61" s="2">
        <v>2014</v>
      </c>
      <c r="B61" s="2" t="s">
        <v>13</v>
      </c>
      <c r="C61" s="9">
        <v>623.73333333333346</v>
      </c>
      <c r="D61" s="9">
        <v>0</v>
      </c>
      <c r="E61" s="11">
        <v>31</v>
      </c>
      <c r="F61" s="12">
        <v>336</v>
      </c>
      <c r="G61" s="2">
        <v>0</v>
      </c>
      <c r="H61" s="128">
        <v>126.2</v>
      </c>
      <c r="I61" s="33">
        <v>714.3</v>
      </c>
      <c r="J61" s="7">
        <f>'5c. Customer Count-Connections'!C62</f>
        <v>3213</v>
      </c>
      <c r="K61" s="7">
        <f>'5c. Customer Count-Connections'!D62</f>
        <v>478</v>
      </c>
      <c r="L61" s="7">
        <f>'5c. Customer Count-Connections'!E62</f>
        <v>35</v>
      </c>
      <c r="M61" s="7">
        <f>'5c. Customer Count-Connections'!F62</f>
        <v>5</v>
      </c>
      <c r="N61" s="7">
        <f>'5c. Customer Count-Connections'!G62</f>
        <v>1</v>
      </c>
      <c r="O61" s="7">
        <f>'5c. Customer Count-Connections'!H62</f>
        <v>27</v>
      </c>
      <c r="P61" s="7">
        <f>'5c. Customer Count-Connections'!I62</f>
        <v>905</v>
      </c>
      <c r="Q61" s="7">
        <f t="shared" si="0"/>
        <v>4664</v>
      </c>
      <c r="R61" s="39">
        <v>3953464.1673599998</v>
      </c>
      <c r="S61" s="2">
        <v>60</v>
      </c>
      <c r="T61" s="39">
        <v>235359.78771081078</v>
      </c>
      <c r="V61" s="21">
        <v>60</v>
      </c>
    </row>
    <row r="62" spans="1:22">
      <c r="A62" s="2">
        <v>2015</v>
      </c>
      <c r="B62" s="2" t="s">
        <v>2</v>
      </c>
      <c r="C62" s="9">
        <v>871.19999999999993</v>
      </c>
      <c r="D62" s="9">
        <v>0</v>
      </c>
      <c r="E62" s="11">
        <v>31</v>
      </c>
      <c r="F62" s="12">
        <v>336</v>
      </c>
      <c r="G62" s="2">
        <v>0</v>
      </c>
      <c r="H62" s="128">
        <v>126.3</v>
      </c>
      <c r="I62" s="33">
        <v>705.7</v>
      </c>
      <c r="J62" s="7">
        <f>'5c. Customer Count-Connections'!C63</f>
        <v>3215</v>
      </c>
      <c r="K62" s="7">
        <f>'5c. Customer Count-Connections'!D63</f>
        <v>478</v>
      </c>
      <c r="L62" s="7">
        <f>'5c. Customer Count-Connections'!E63</f>
        <v>36</v>
      </c>
      <c r="M62" s="7">
        <f>'5c. Customer Count-Connections'!F63</f>
        <v>5</v>
      </c>
      <c r="N62" s="7">
        <f>'5c. Customer Count-Connections'!G63</f>
        <v>1</v>
      </c>
      <c r="O62" s="7">
        <f>'5c. Customer Count-Connections'!H63</f>
        <v>27</v>
      </c>
      <c r="P62" s="7">
        <f>'5c. Customer Count-Connections'!I63</f>
        <v>905</v>
      </c>
      <c r="Q62" s="7">
        <f t="shared" si="0"/>
        <v>4667</v>
      </c>
      <c r="R62" s="39">
        <v>4513683.0380400009</v>
      </c>
      <c r="S62" s="2">
        <v>61</v>
      </c>
      <c r="T62" s="39">
        <v>239321.94152366903</v>
      </c>
      <c r="V62" s="21">
        <v>61</v>
      </c>
    </row>
    <row r="63" spans="1:22">
      <c r="A63" s="2">
        <v>2015</v>
      </c>
      <c r="B63" s="2" t="s">
        <v>3</v>
      </c>
      <c r="C63" s="9">
        <v>928.1</v>
      </c>
      <c r="D63" s="9">
        <v>0</v>
      </c>
      <c r="E63" s="11">
        <v>28</v>
      </c>
      <c r="F63" s="12">
        <v>304</v>
      </c>
      <c r="G63" s="2">
        <v>0</v>
      </c>
      <c r="H63" s="128">
        <v>127.2</v>
      </c>
      <c r="I63" s="33">
        <v>700.1</v>
      </c>
      <c r="J63" s="7">
        <f>'5c. Customer Count-Connections'!C64</f>
        <v>3214</v>
      </c>
      <c r="K63" s="7">
        <f>'5c. Customer Count-Connections'!D64</f>
        <v>478</v>
      </c>
      <c r="L63" s="7">
        <f>'5c. Customer Count-Connections'!E64</f>
        <v>36</v>
      </c>
      <c r="M63" s="7">
        <f>'5c. Customer Count-Connections'!F64</f>
        <v>5</v>
      </c>
      <c r="N63" s="7">
        <f>'5c. Customer Count-Connections'!G64</f>
        <v>1</v>
      </c>
      <c r="O63" s="7">
        <f>'5c. Customer Count-Connections'!H64</f>
        <v>27</v>
      </c>
      <c r="P63" s="7">
        <f>'5c. Customer Count-Connections'!I64</f>
        <v>905</v>
      </c>
      <c r="Q63" s="7">
        <f t="shared" si="0"/>
        <v>4666</v>
      </c>
      <c r="R63" s="39">
        <v>4307574.8160000006</v>
      </c>
      <c r="S63" s="2">
        <v>62</v>
      </c>
      <c r="T63" s="39">
        <v>243284.09533652724</v>
      </c>
      <c r="V63" s="21">
        <v>62</v>
      </c>
    </row>
    <row r="64" spans="1:22">
      <c r="A64" s="2">
        <v>2015</v>
      </c>
      <c r="B64" s="2" t="s">
        <v>4</v>
      </c>
      <c r="C64" s="9">
        <v>701.5</v>
      </c>
      <c r="D64" s="9">
        <v>0</v>
      </c>
      <c r="E64" s="11">
        <v>31</v>
      </c>
      <c r="F64" s="12">
        <v>352</v>
      </c>
      <c r="G64" s="2">
        <v>1</v>
      </c>
      <c r="H64" s="128">
        <v>127.9</v>
      </c>
      <c r="I64" s="33">
        <v>698.3</v>
      </c>
      <c r="J64" s="7">
        <f>'5c. Customer Count-Connections'!C65</f>
        <v>3216</v>
      </c>
      <c r="K64" s="7">
        <f>'5c. Customer Count-Connections'!D65</f>
        <v>479</v>
      </c>
      <c r="L64" s="7">
        <f>'5c. Customer Count-Connections'!E65</f>
        <v>36</v>
      </c>
      <c r="M64" s="7">
        <f>'5c. Customer Count-Connections'!F65</f>
        <v>5</v>
      </c>
      <c r="N64" s="7">
        <f>'5c. Customer Count-Connections'!G65</f>
        <v>1</v>
      </c>
      <c r="O64" s="7">
        <f>'5c. Customer Count-Connections'!H65</f>
        <v>27</v>
      </c>
      <c r="P64" s="7">
        <f>'5c. Customer Count-Connections'!I65</f>
        <v>905</v>
      </c>
      <c r="Q64" s="7">
        <f t="shared" si="0"/>
        <v>4669</v>
      </c>
      <c r="R64" s="39">
        <v>4884586.8374400008</v>
      </c>
      <c r="S64" s="2">
        <v>63</v>
      </c>
      <c r="T64" s="39">
        <v>247246.24914938549</v>
      </c>
      <c r="V64" s="21">
        <v>63</v>
      </c>
    </row>
    <row r="65" spans="1:22">
      <c r="A65" s="2">
        <v>2015</v>
      </c>
      <c r="B65" s="2" t="s">
        <v>5</v>
      </c>
      <c r="C65" s="9">
        <v>382.84999999999997</v>
      </c>
      <c r="D65" s="9">
        <v>0</v>
      </c>
      <c r="E65" s="11">
        <v>30</v>
      </c>
      <c r="F65" s="12">
        <v>320</v>
      </c>
      <c r="G65" s="2">
        <v>1</v>
      </c>
      <c r="H65" s="128">
        <v>127.7</v>
      </c>
      <c r="I65" s="33">
        <v>697.6</v>
      </c>
      <c r="J65" s="7">
        <f>'5c. Customer Count-Connections'!C66</f>
        <v>3216</v>
      </c>
      <c r="K65" s="7">
        <f>'5c. Customer Count-Connections'!D66</f>
        <v>480</v>
      </c>
      <c r="L65" s="7">
        <f>'5c. Customer Count-Connections'!E66</f>
        <v>36</v>
      </c>
      <c r="M65" s="7">
        <f>'5c. Customer Count-Connections'!F66</f>
        <v>5</v>
      </c>
      <c r="N65" s="7">
        <f>'5c. Customer Count-Connections'!G66</f>
        <v>1</v>
      </c>
      <c r="O65" s="7">
        <f>'5c. Customer Count-Connections'!H66</f>
        <v>27</v>
      </c>
      <c r="P65" s="7">
        <f>'5c. Customer Count-Connections'!I66</f>
        <v>905</v>
      </c>
      <c r="Q65" s="7">
        <f t="shared" si="0"/>
        <v>4670</v>
      </c>
      <c r="R65" s="39">
        <v>4732559.1597600011</v>
      </c>
      <c r="S65" s="2">
        <v>64</v>
      </c>
      <c r="T65" s="39">
        <v>251208.40296224374</v>
      </c>
      <c r="V65" s="21">
        <v>64</v>
      </c>
    </row>
    <row r="66" spans="1:22">
      <c r="A66" s="2">
        <v>2015</v>
      </c>
      <c r="B66" s="2" t="s">
        <v>6</v>
      </c>
      <c r="C66" s="9">
        <v>135.30000000000001</v>
      </c>
      <c r="D66" s="9">
        <v>23.4</v>
      </c>
      <c r="E66" s="11">
        <v>31</v>
      </c>
      <c r="F66" s="12">
        <v>320</v>
      </c>
      <c r="G66" s="2">
        <v>1</v>
      </c>
      <c r="H66" s="128">
        <v>128.5</v>
      </c>
      <c r="I66" s="33">
        <v>704.9</v>
      </c>
      <c r="J66" s="7">
        <f>'5c. Customer Count-Connections'!C67</f>
        <v>3203</v>
      </c>
      <c r="K66" s="7">
        <f>'5c. Customer Count-Connections'!D67</f>
        <v>475</v>
      </c>
      <c r="L66" s="7">
        <f>'5c. Customer Count-Connections'!E67</f>
        <v>36</v>
      </c>
      <c r="M66" s="7">
        <f>'5c. Customer Count-Connections'!F67</f>
        <v>5</v>
      </c>
      <c r="N66" s="7">
        <f>'5c. Customer Count-Connections'!G67</f>
        <v>1</v>
      </c>
      <c r="O66" s="7">
        <f>'5c. Customer Count-Connections'!H67</f>
        <v>27</v>
      </c>
      <c r="P66" s="7">
        <f>'5c. Customer Count-Connections'!I67</f>
        <v>905</v>
      </c>
      <c r="Q66" s="7">
        <f t="shared" si="0"/>
        <v>4652</v>
      </c>
      <c r="R66" s="39">
        <v>5023122.8568000002</v>
      </c>
      <c r="S66" s="2">
        <v>65</v>
      </c>
      <c r="T66" s="39">
        <v>255170.55677510196</v>
      </c>
      <c r="V66" s="21">
        <v>65</v>
      </c>
    </row>
    <row r="67" spans="1:22">
      <c r="A67" s="2">
        <v>2015</v>
      </c>
      <c r="B67" s="2" t="s">
        <v>7</v>
      </c>
      <c r="C67" s="9">
        <v>59.199999999999996</v>
      </c>
      <c r="D67" s="9">
        <v>5.7</v>
      </c>
      <c r="E67" s="11">
        <v>30</v>
      </c>
      <c r="F67" s="12">
        <v>352</v>
      </c>
      <c r="G67" s="2">
        <v>0</v>
      </c>
      <c r="H67" s="128">
        <v>128.80000000000001</v>
      </c>
      <c r="I67" s="33">
        <v>715.1</v>
      </c>
      <c r="J67" s="7">
        <f>'5c. Customer Count-Connections'!C68</f>
        <v>3209</v>
      </c>
      <c r="K67" s="7">
        <f>'5c. Customer Count-Connections'!D68</f>
        <v>475</v>
      </c>
      <c r="L67" s="7">
        <f>'5c. Customer Count-Connections'!E68</f>
        <v>36</v>
      </c>
      <c r="M67" s="7">
        <f>'5c. Customer Count-Connections'!F68</f>
        <v>5</v>
      </c>
      <c r="N67" s="7">
        <f>'5c. Customer Count-Connections'!G68</f>
        <v>1</v>
      </c>
      <c r="O67" s="7">
        <f>'5c. Customer Count-Connections'!H68</f>
        <v>27</v>
      </c>
      <c r="P67" s="7">
        <f>'5c. Customer Count-Connections'!I68</f>
        <v>905</v>
      </c>
      <c r="Q67" s="7">
        <f t="shared" ref="Q67:Q130" si="1">SUM(J67:P67)</f>
        <v>4658</v>
      </c>
      <c r="R67" s="39">
        <v>4909277.7873600004</v>
      </c>
      <c r="S67" s="2">
        <v>66</v>
      </c>
      <c r="T67" s="39">
        <v>259132.7105879602</v>
      </c>
      <c r="V67" s="21">
        <v>66</v>
      </c>
    </row>
    <row r="68" spans="1:22">
      <c r="A68" s="2">
        <v>2015</v>
      </c>
      <c r="B68" s="2" t="s">
        <v>8</v>
      </c>
      <c r="C68" s="9">
        <v>31.3</v>
      </c>
      <c r="D68" s="9">
        <v>43.4</v>
      </c>
      <c r="E68" s="11">
        <v>31</v>
      </c>
      <c r="F68" s="12">
        <v>336</v>
      </c>
      <c r="G68" s="2">
        <v>0</v>
      </c>
      <c r="H68" s="128">
        <v>129.19999999999999</v>
      </c>
      <c r="I68" s="33">
        <v>716.6</v>
      </c>
      <c r="J68" s="7">
        <f>'5c. Customer Count-Connections'!C69</f>
        <v>3210</v>
      </c>
      <c r="K68" s="7">
        <f>'5c. Customer Count-Connections'!D69</f>
        <v>476</v>
      </c>
      <c r="L68" s="7">
        <f>'5c. Customer Count-Connections'!E69</f>
        <v>36</v>
      </c>
      <c r="M68" s="7">
        <f>'5c. Customer Count-Connections'!F69</f>
        <v>5</v>
      </c>
      <c r="N68" s="7">
        <f>'5c. Customer Count-Connections'!G69</f>
        <v>1</v>
      </c>
      <c r="O68" s="7">
        <f>'5c. Customer Count-Connections'!H69</f>
        <v>27</v>
      </c>
      <c r="P68" s="7">
        <f>'5c. Customer Count-Connections'!I69</f>
        <v>905</v>
      </c>
      <c r="Q68" s="7">
        <f t="shared" si="1"/>
        <v>4660</v>
      </c>
      <c r="R68" s="39">
        <v>4834398.45144</v>
      </c>
      <c r="S68" s="2">
        <v>67</v>
      </c>
      <c r="T68" s="39">
        <v>263094.86440081842</v>
      </c>
      <c r="V68" s="21">
        <v>67</v>
      </c>
    </row>
    <row r="69" spans="1:22">
      <c r="A69" s="2">
        <v>2015</v>
      </c>
      <c r="B69" s="2" t="s">
        <v>9</v>
      </c>
      <c r="C69" s="9">
        <v>35</v>
      </c>
      <c r="D69" s="9">
        <v>38.1</v>
      </c>
      <c r="E69" s="11">
        <v>31</v>
      </c>
      <c r="F69" s="12">
        <v>320</v>
      </c>
      <c r="G69" s="2">
        <v>0</v>
      </c>
      <c r="H69" s="128">
        <v>128.69999999999999</v>
      </c>
      <c r="I69" s="33">
        <v>713.1</v>
      </c>
      <c r="J69" s="7">
        <f>'5c. Customer Count-Connections'!C70</f>
        <v>3207</v>
      </c>
      <c r="K69" s="7">
        <f>'5c. Customer Count-Connections'!D70</f>
        <v>477</v>
      </c>
      <c r="L69" s="7">
        <f>'5c. Customer Count-Connections'!E70</f>
        <v>36</v>
      </c>
      <c r="M69" s="7">
        <f>'5c. Customer Count-Connections'!F70</f>
        <v>5</v>
      </c>
      <c r="N69" s="7">
        <f>'5c. Customer Count-Connections'!G70</f>
        <v>1</v>
      </c>
      <c r="O69" s="7">
        <f>'5c. Customer Count-Connections'!H70</f>
        <v>27</v>
      </c>
      <c r="P69" s="7">
        <f>'5c. Customer Count-Connections'!I70</f>
        <v>905</v>
      </c>
      <c r="Q69" s="7">
        <f t="shared" si="1"/>
        <v>4658</v>
      </c>
      <c r="R69" s="39">
        <v>5059556.1852000002</v>
      </c>
      <c r="S69" s="2">
        <v>68</v>
      </c>
      <c r="T69" s="39">
        <v>267057.0182136767</v>
      </c>
      <c r="V69" s="21">
        <v>68</v>
      </c>
    </row>
    <row r="70" spans="1:22">
      <c r="A70" s="2">
        <v>2015</v>
      </c>
      <c r="B70" s="2" t="s">
        <v>10</v>
      </c>
      <c r="C70" s="9">
        <v>58</v>
      </c>
      <c r="D70" s="9">
        <v>47.449999999999996</v>
      </c>
      <c r="E70" s="11">
        <v>30</v>
      </c>
      <c r="F70" s="12">
        <v>336</v>
      </c>
      <c r="G70" s="2">
        <v>1</v>
      </c>
      <c r="H70" s="128">
        <v>129</v>
      </c>
      <c r="I70" s="33">
        <v>710.2</v>
      </c>
      <c r="J70" s="7">
        <f>'5c. Customer Count-Connections'!C71</f>
        <v>3208</v>
      </c>
      <c r="K70" s="7">
        <f>'5c. Customer Count-Connections'!D71</f>
        <v>475</v>
      </c>
      <c r="L70" s="7">
        <f>'5c. Customer Count-Connections'!E71</f>
        <v>36</v>
      </c>
      <c r="M70" s="7">
        <f>'5c. Customer Count-Connections'!F71</f>
        <v>5</v>
      </c>
      <c r="N70" s="7">
        <f>'5c. Customer Count-Connections'!G71</f>
        <v>1</v>
      </c>
      <c r="O70" s="7">
        <f>'5c. Customer Count-Connections'!H71</f>
        <v>27</v>
      </c>
      <c r="P70" s="7">
        <f>'5c. Customer Count-Connections'!I71</f>
        <v>905</v>
      </c>
      <c r="Q70" s="7">
        <f t="shared" si="1"/>
        <v>4657</v>
      </c>
      <c r="R70" s="39">
        <v>5022140.1996000009</v>
      </c>
      <c r="S70" s="2">
        <v>69</v>
      </c>
      <c r="T70" s="39">
        <v>271019.17202653491</v>
      </c>
      <c r="V70" s="21">
        <v>69</v>
      </c>
    </row>
    <row r="71" spans="1:22">
      <c r="A71" s="2">
        <v>2015</v>
      </c>
      <c r="B71" s="2" t="s">
        <v>11</v>
      </c>
      <c r="C71" s="9">
        <v>310.5</v>
      </c>
      <c r="D71" s="9">
        <v>0</v>
      </c>
      <c r="E71" s="11">
        <v>31</v>
      </c>
      <c r="F71" s="12">
        <v>336</v>
      </c>
      <c r="G71" s="2">
        <v>1</v>
      </c>
      <c r="H71" s="128">
        <v>129</v>
      </c>
      <c r="I71" s="33">
        <v>716.9</v>
      </c>
      <c r="J71" s="7">
        <f>'5c. Customer Count-Connections'!C72</f>
        <v>3213</v>
      </c>
      <c r="K71" s="7">
        <f>'5c. Customer Count-Connections'!D72</f>
        <v>467</v>
      </c>
      <c r="L71" s="7">
        <f>'5c. Customer Count-Connections'!E72</f>
        <v>35</v>
      </c>
      <c r="M71" s="7">
        <f>'5c. Customer Count-Connections'!F72</f>
        <v>5</v>
      </c>
      <c r="N71" s="7">
        <f>'5c. Customer Count-Connections'!G72</f>
        <v>1</v>
      </c>
      <c r="O71" s="7">
        <f>'5c. Customer Count-Connections'!H72</f>
        <v>26</v>
      </c>
      <c r="P71" s="7">
        <f>'5c. Customer Count-Connections'!I72</f>
        <v>905</v>
      </c>
      <c r="Q71" s="7">
        <f t="shared" si="1"/>
        <v>4652</v>
      </c>
      <c r="R71" s="39">
        <v>4871537.3212800017</v>
      </c>
      <c r="S71" s="2">
        <v>70</v>
      </c>
      <c r="T71" s="39">
        <v>274981.32583939313</v>
      </c>
      <c r="V71" s="21">
        <v>70</v>
      </c>
    </row>
    <row r="72" spans="1:22">
      <c r="A72" s="2">
        <v>2015</v>
      </c>
      <c r="B72" s="2" t="s">
        <v>12</v>
      </c>
      <c r="C72" s="9">
        <v>387.09999999999997</v>
      </c>
      <c r="D72" s="9">
        <v>0</v>
      </c>
      <c r="E72" s="11">
        <v>30</v>
      </c>
      <c r="F72" s="12">
        <v>320</v>
      </c>
      <c r="G72" s="2">
        <v>1</v>
      </c>
      <c r="H72" s="128">
        <v>129.1</v>
      </c>
      <c r="I72" s="33">
        <v>721</v>
      </c>
      <c r="J72" s="7">
        <f>'5c. Customer Count-Connections'!C73</f>
        <v>3214</v>
      </c>
      <c r="K72" s="7">
        <f>'5c. Customer Count-Connections'!D73</f>
        <v>466</v>
      </c>
      <c r="L72" s="7">
        <f>'5c. Customer Count-Connections'!E73</f>
        <v>35</v>
      </c>
      <c r="M72" s="7">
        <f>'5c. Customer Count-Connections'!F73</f>
        <v>5</v>
      </c>
      <c r="N72" s="7">
        <f>'5c. Customer Count-Connections'!G73</f>
        <v>1</v>
      </c>
      <c r="O72" s="7">
        <f>'5c. Customer Count-Connections'!H73</f>
        <v>25</v>
      </c>
      <c r="P72" s="7">
        <f>'5c. Customer Count-Connections'!I73</f>
        <v>905</v>
      </c>
      <c r="Q72" s="7">
        <f t="shared" si="1"/>
        <v>4651</v>
      </c>
      <c r="R72" s="39">
        <v>4473873.8481600014</v>
      </c>
      <c r="S72" s="2">
        <v>71</v>
      </c>
      <c r="T72" s="39">
        <v>278943.47965225141</v>
      </c>
      <c r="V72" s="21">
        <v>71</v>
      </c>
    </row>
    <row r="73" spans="1:22">
      <c r="A73" s="2">
        <v>2015</v>
      </c>
      <c r="B73" s="2" t="s">
        <v>13</v>
      </c>
      <c r="C73" s="9">
        <v>491.90000000000003</v>
      </c>
      <c r="D73" s="9">
        <v>0</v>
      </c>
      <c r="E73" s="11">
        <v>31</v>
      </c>
      <c r="F73" s="12">
        <v>336</v>
      </c>
      <c r="G73" s="2">
        <v>0</v>
      </c>
      <c r="H73" s="128">
        <v>128.69999999999999</v>
      </c>
      <c r="I73" s="33">
        <v>718.7</v>
      </c>
      <c r="J73" s="7">
        <f>'5c. Customer Count-Connections'!C74</f>
        <v>3218</v>
      </c>
      <c r="K73" s="7">
        <f>'5c. Customer Count-Connections'!D74</f>
        <v>467</v>
      </c>
      <c r="L73" s="7">
        <f>'5c. Customer Count-Connections'!E74</f>
        <v>35</v>
      </c>
      <c r="M73" s="7">
        <f>'5c. Customer Count-Connections'!F74</f>
        <v>5</v>
      </c>
      <c r="N73" s="7">
        <f>'5c. Customer Count-Connections'!G74</f>
        <v>1</v>
      </c>
      <c r="O73" s="7">
        <f>'5c. Customer Count-Connections'!H74</f>
        <v>24</v>
      </c>
      <c r="P73" s="7">
        <f>'5c. Customer Count-Connections'!I74</f>
        <v>905</v>
      </c>
      <c r="Q73" s="7">
        <f t="shared" si="1"/>
        <v>4655</v>
      </c>
      <c r="R73" s="39">
        <v>3903048.2806800003</v>
      </c>
      <c r="S73" s="2">
        <v>72</v>
      </c>
      <c r="T73" s="39">
        <v>282905.63346510957</v>
      </c>
      <c r="V73" s="21">
        <v>72</v>
      </c>
    </row>
    <row r="74" spans="1:22">
      <c r="A74" s="2">
        <v>2016</v>
      </c>
      <c r="B74" s="2" t="s">
        <v>2</v>
      </c>
      <c r="C74" s="9">
        <v>744.95000000000016</v>
      </c>
      <c r="D74" s="9">
        <v>0</v>
      </c>
      <c r="E74" s="11">
        <v>31</v>
      </c>
      <c r="F74" s="12">
        <v>320</v>
      </c>
      <c r="G74" s="2">
        <v>0</v>
      </c>
      <c r="H74" s="128">
        <v>129</v>
      </c>
      <c r="I74" s="33">
        <v>715.8</v>
      </c>
      <c r="J74" s="7">
        <f>'5c. Customer Count-Connections'!C75</f>
        <v>3219</v>
      </c>
      <c r="K74" s="7">
        <f>'5c. Customer Count-Connections'!D75</f>
        <v>467</v>
      </c>
      <c r="L74" s="7">
        <f>'5c. Customer Count-Connections'!E75</f>
        <v>35</v>
      </c>
      <c r="M74" s="7">
        <f>'5c. Customer Count-Connections'!F75</f>
        <v>5</v>
      </c>
      <c r="N74" s="7">
        <f>'5c. Customer Count-Connections'!G75</f>
        <v>3</v>
      </c>
      <c r="O74" s="7">
        <f>'5c. Customer Count-Connections'!H75</f>
        <v>24</v>
      </c>
      <c r="P74" s="7">
        <f>'5c. Customer Count-Connections'!I75</f>
        <v>905</v>
      </c>
      <c r="Q74" s="7">
        <f t="shared" si="1"/>
        <v>4658</v>
      </c>
      <c r="R74" s="39">
        <v>4405570.5999600012</v>
      </c>
      <c r="S74" s="2">
        <v>73</v>
      </c>
      <c r="T74" s="39">
        <v>288174.5176010658</v>
      </c>
      <c r="V74" s="21">
        <v>73</v>
      </c>
    </row>
    <row r="75" spans="1:22">
      <c r="A75" s="2">
        <v>2016</v>
      </c>
      <c r="B75" s="2" t="s">
        <v>3</v>
      </c>
      <c r="C75" s="9">
        <v>660.05</v>
      </c>
      <c r="D75" s="9">
        <v>0</v>
      </c>
      <c r="E75" s="11">
        <v>29</v>
      </c>
      <c r="F75" s="12">
        <v>320</v>
      </c>
      <c r="G75" s="2">
        <v>0</v>
      </c>
      <c r="H75" s="128">
        <v>129.4</v>
      </c>
      <c r="I75" s="33">
        <v>710.9</v>
      </c>
      <c r="J75" s="7">
        <f>'5c. Customer Count-Connections'!C76</f>
        <v>3221</v>
      </c>
      <c r="K75" s="7">
        <f>'5c. Customer Count-Connections'!D76</f>
        <v>466</v>
      </c>
      <c r="L75" s="7">
        <f>'5c. Customer Count-Connections'!E76</f>
        <v>35</v>
      </c>
      <c r="M75" s="7">
        <f>'5c. Customer Count-Connections'!F76</f>
        <v>5</v>
      </c>
      <c r="N75" s="7">
        <f>'5c. Customer Count-Connections'!G76</f>
        <v>1</v>
      </c>
      <c r="O75" s="7">
        <f>'5c. Customer Count-Connections'!H76</f>
        <v>24</v>
      </c>
      <c r="P75" s="7">
        <f>'5c. Customer Count-Connections'!I76</f>
        <v>905</v>
      </c>
      <c r="Q75" s="7">
        <f t="shared" si="1"/>
        <v>4657</v>
      </c>
      <c r="R75" s="39">
        <v>4328369.4283199999</v>
      </c>
      <c r="S75" s="2">
        <v>74</v>
      </c>
      <c r="T75" s="39">
        <v>293443.40173702204</v>
      </c>
      <c r="V75" s="21">
        <v>74</v>
      </c>
    </row>
    <row r="76" spans="1:22">
      <c r="A76" s="2">
        <v>2016</v>
      </c>
      <c r="B76" s="2" t="s">
        <v>4</v>
      </c>
      <c r="C76" s="9">
        <v>522.60000000000014</v>
      </c>
      <c r="D76" s="9">
        <v>0</v>
      </c>
      <c r="E76" s="11">
        <v>31</v>
      </c>
      <c r="F76" s="12">
        <v>336</v>
      </c>
      <c r="G76" s="2">
        <v>1</v>
      </c>
      <c r="H76" s="128">
        <v>130.30000000000001</v>
      </c>
      <c r="I76" s="33">
        <v>709.4</v>
      </c>
      <c r="J76" s="7">
        <f>'5c. Customer Count-Connections'!C77</f>
        <v>3219</v>
      </c>
      <c r="K76" s="7">
        <f>'5c. Customer Count-Connections'!D77</f>
        <v>466</v>
      </c>
      <c r="L76" s="7">
        <f>'5c. Customer Count-Connections'!E77</f>
        <v>35</v>
      </c>
      <c r="M76" s="7">
        <f>'5c. Customer Count-Connections'!F77</f>
        <v>5</v>
      </c>
      <c r="N76" s="7">
        <f>'5c. Customer Count-Connections'!G77</f>
        <v>1</v>
      </c>
      <c r="O76" s="7">
        <f>'5c. Customer Count-Connections'!H77</f>
        <v>24</v>
      </c>
      <c r="P76" s="7">
        <f>'5c. Customer Count-Connections'!I77</f>
        <v>905</v>
      </c>
      <c r="Q76" s="7">
        <f t="shared" si="1"/>
        <v>4655</v>
      </c>
      <c r="R76" s="39">
        <v>4524814.9260000009</v>
      </c>
      <c r="S76" s="2">
        <v>75</v>
      </c>
      <c r="T76" s="39">
        <v>298712.28587297827</v>
      </c>
      <c r="V76" s="21">
        <v>75</v>
      </c>
    </row>
    <row r="77" spans="1:22">
      <c r="A77" s="2">
        <v>2016</v>
      </c>
      <c r="B77" s="2" t="s">
        <v>5</v>
      </c>
      <c r="C77" s="9">
        <v>438.15</v>
      </c>
      <c r="D77" s="9">
        <v>0</v>
      </c>
      <c r="E77" s="11">
        <v>30</v>
      </c>
      <c r="F77" s="12">
        <v>336</v>
      </c>
      <c r="G77" s="2">
        <v>1</v>
      </c>
      <c r="H77" s="128">
        <v>130.69999999999999</v>
      </c>
      <c r="I77" s="33">
        <v>707.4</v>
      </c>
      <c r="J77" s="7">
        <f>'5c. Customer Count-Connections'!C78</f>
        <v>3221</v>
      </c>
      <c r="K77" s="7">
        <f>'5c. Customer Count-Connections'!D78</f>
        <v>472</v>
      </c>
      <c r="L77" s="7">
        <f>'5c. Customer Count-Connections'!E78</f>
        <v>36</v>
      </c>
      <c r="M77" s="7">
        <f>'5c. Customer Count-Connections'!F78</f>
        <v>5</v>
      </c>
      <c r="N77" s="7">
        <f>'5c. Customer Count-Connections'!G78</f>
        <v>1</v>
      </c>
      <c r="O77" s="7">
        <f>'5c. Customer Count-Connections'!H78</f>
        <v>24</v>
      </c>
      <c r="P77" s="7">
        <f>'5c. Customer Count-Connections'!I78</f>
        <v>905</v>
      </c>
      <c r="Q77" s="7">
        <f t="shared" si="1"/>
        <v>4664</v>
      </c>
      <c r="R77" s="39">
        <v>4449082.70364</v>
      </c>
      <c r="S77" s="2">
        <v>76</v>
      </c>
      <c r="T77" s="39">
        <v>303981.17000893457</v>
      </c>
      <c r="V77" s="21">
        <v>76</v>
      </c>
    </row>
    <row r="78" spans="1:22">
      <c r="A78" s="2">
        <v>2016</v>
      </c>
      <c r="B78" s="2" t="s">
        <v>6</v>
      </c>
      <c r="C78" s="9">
        <v>187.6</v>
      </c>
      <c r="D78" s="9">
        <v>22.4</v>
      </c>
      <c r="E78" s="11">
        <v>31</v>
      </c>
      <c r="F78" s="12">
        <v>336</v>
      </c>
      <c r="G78" s="2">
        <v>1</v>
      </c>
      <c r="H78" s="128">
        <v>131.19999999999999</v>
      </c>
      <c r="I78" s="33">
        <v>712.4</v>
      </c>
      <c r="J78" s="7">
        <f>'5c. Customer Count-Connections'!C79</f>
        <v>3220</v>
      </c>
      <c r="K78" s="7">
        <f>'5c. Customer Count-Connections'!D79</f>
        <v>473</v>
      </c>
      <c r="L78" s="7">
        <f>'5c. Customer Count-Connections'!E79</f>
        <v>36</v>
      </c>
      <c r="M78" s="7">
        <f>'5c. Customer Count-Connections'!F79</f>
        <v>5</v>
      </c>
      <c r="N78" s="7">
        <f>'5c. Customer Count-Connections'!G79</f>
        <v>1</v>
      </c>
      <c r="O78" s="7">
        <f>'5c. Customer Count-Connections'!H79</f>
        <v>24</v>
      </c>
      <c r="P78" s="7">
        <f>'5c. Customer Count-Connections'!I79</f>
        <v>905</v>
      </c>
      <c r="Q78" s="7">
        <f t="shared" si="1"/>
        <v>4664</v>
      </c>
      <c r="R78" s="39">
        <v>4474575.7718400005</v>
      </c>
      <c r="S78" s="2">
        <v>77</v>
      </c>
      <c r="T78" s="39">
        <v>307518.53088540089</v>
      </c>
      <c r="V78" s="21">
        <v>77</v>
      </c>
    </row>
    <row r="79" spans="1:22">
      <c r="A79" s="2">
        <v>2016</v>
      </c>
      <c r="B79" s="2" t="s">
        <v>7</v>
      </c>
      <c r="C79" s="9">
        <v>66.550000000000026</v>
      </c>
      <c r="D79" s="9">
        <v>27.55</v>
      </c>
      <c r="E79" s="11">
        <v>30</v>
      </c>
      <c r="F79" s="12">
        <v>352</v>
      </c>
      <c r="G79" s="2">
        <v>0</v>
      </c>
      <c r="H79" s="128">
        <v>131.5</v>
      </c>
      <c r="I79" s="33">
        <v>714.6</v>
      </c>
      <c r="J79" s="7">
        <f>'5c. Customer Count-Connections'!C80</f>
        <v>3214</v>
      </c>
      <c r="K79" s="7">
        <f>'5c. Customer Count-Connections'!D80</f>
        <v>472</v>
      </c>
      <c r="L79" s="7">
        <f>'5c. Customer Count-Connections'!E80</f>
        <v>36</v>
      </c>
      <c r="M79" s="7">
        <f>'5c. Customer Count-Connections'!F80</f>
        <v>5</v>
      </c>
      <c r="N79" s="7">
        <f>'5c. Customer Count-Connections'!G80</f>
        <v>1</v>
      </c>
      <c r="O79" s="7">
        <f>'5c. Customer Count-Connections'!H80</f>
        <v>24</v>
      </c>
      <c r="P79" s="7">
        <f>'5c. Customer Count-Connections'!I80</f>
        <v>905</v>
      </c>
      <c r="Q79" s="7">
        <f t="shared" si="1"/>
        <v>4657</v>
      </c>
      <c r="R79" s="39">
        <v>4649234.5382400006</v>
      </c>
      <c r="S79" s="2">
        <v>78</v>
      </c>
      <c r="T79" s="39">
        <v>312757.91399036074</v>
      </c>
      <c r="V79" s="21">
        <v>78</v>
      </c>
    </row>
    <row r="80" spans="1:22">
      <c r="A80" s="2">
        <v>2016</v>
      </c>
      <c r="B80" s="2" t="s">
        <v>8</v>
      </c>
      <c r="C80" s="9">
        <v>17.3</v>
      </c>
      <c r="D80" s="9">
        <v>83</v>
      </c>
      <c r="E80" s="11">
        <v>31</v>
      </c>
      <c r="F80" s="12">
        <v>320</v>
      </c>
      <c r="G80" s="2">
        <v>0</v>
      </c>
      <c r="H80" s="128">
        <v>131.4</v>
      </c>
      <c r="I80" s="33">
        <v>712.3</v>
      </c>
      <c r="J80" s="7">
        <f>'5c. Customer Count-Connections'!C81</f>
        <v>3214</v>
      </c>
      <c r="K80" s="7">
        <f>'5c. Customer Count-Connections'!D81</f>
        <v>473</v>
      </c>
      <c r="L80" s="7">
        <f>'5c. Customer Count-Connections'!E81</f>
        <v>36</v>
      </c>
      <c r="M80" s="7">
        <f>'5c. Customer Count-Connections'!F81</f>
        <v>5</v>
      </c>
      <c r="N80" s="7">
        <f>'5c. Customer Count-Connections'!G81</f>
        <v>1</v>
      </c>
      <c r="O80" s="7">
        <f>'5c. Customer Count-Connections'!H81</f>
        <v>24</v>
      </c>
      <c r="P80" s="7">
        <f>'5c. Customer Count-Connections'!I81</f>
        <v>905</v>
      </c>
      <c r="Q80" s="7">
        <f t="shared" si="1"/>
        <v>4658</v>
      </c>
      <c r="R80" s="39">
        <v>3951977.6131199999</v>
      </c>
      <c r="S80" s="2">
        <v>79</v>
      </c>
      <c r="T80" s="39">
        <v>317997.29709532059</v>
      </c>
      <c r="V80" s="21">
        <v>79</v>
      </c>
    </row>
    <row r="81" spans="1:22">
      <c r="A81" s="2">
        <v>2016</v>
      </c>
      <c r="B81" s="2" t="s">
        <v>9</v>
      </c>
      <c r="C81" s="9">
        <v>3</v>
      </c>
      <c r="D81" s="9">
        <v>91.249999999999986</v>
      </c>
      <c r="E81" s="11">
        <v>31</v>
      </c>
      <c r="F81" s="12">
        <v>352</v>
      </c>
      <c r="G81" s="2">
        <v>0</v>
      </c>
      <c r="H81" s="128">
        <v>131.1</v>
      </c>
      <c r="I81" s="33">
        <v>707.1</v>
      </c>
      <c r="J81" s="7">
        <f>'5c. Customer Count-Connections'!C82</f>
        <v>3214</v>
      </c>
      <c r="K81" s="7">
        <f>'5c. Customer Count-Connections'!D82</f>
        <v>472</v>
      </c>
      <c r="L81" s="7">
        <f>'5c. Customer Count-Connections'!E82</f>
        <v>36</v>
      </c>
      <c r="M81" s="7">
        <f>'5c. Customer Count-Connections'!F82</f>
        <v>5</v>
      </c>
      <c r="N81" s="7">
        <f>'5c. Customer Count-Connections'!G82</f>
        <v>2</v>
      </c>
      <c r="O81" s="7">
        <f>'5c. Customer Count-Connections'!H82</f>
        <v>24</v>
      </c>
      <c r="P81" s="7">
        <f>'5c. Customer Count-Connections'!I82</f>
        <v>910</v>
      </c>
      <c r="Q81" s="7">
        <f t="shared" si="1"/>
        <v>4663</v>
      </c>
      <c r="R81" s="39">
        <v>5045746.9622400003</v>
      </c>
      <c r="S81" s="2">
        <v>80</v>
      </c>
      <c r="T81" s="39">
        <v>323236.68020028045</v>
      </c>
      <c r="V81" s="21">
        <v>80</v>
      </c>
    </row>
    <row r="82" spans="1:22">
      <c r="A82" s="2">
        <v>2016</v>
      </c>
      <c r="B82" s="2" t="s">
        <v>10</v>
      </c>
      <c r="C82" s="9">
        <v>66.599999999999994</v>
      </c>
      <c r="D82" s="9">
        <v>25.1</v>
      </c>
      <c r="E82" s="11">
        <v>30</v>
      </c>
      <c r="F82" s="12">
        <v>336</v>
      </c>
      <c r="G82" s="2">
        <v>1</v>
      </c>
      <c r="H82" s="128">
        <v>131.69999999999999</v>
      </c>
      <c r="I82" s="33">
        <v>702.4</v>
      </c>
      <c r="J82" s="7">
        <f>'5c. Customer Count-Connections'!C83</f>
        <v>3213</v>
      </c>
      <c r="K82" s="7">
        <f>'5c. Customer Count-Connections'!D83</f>
        <v>471</v>
      </c>
      <c r="L82" s="7">
        <f>'5c. Customer Count-Connections'!E83</f>
        <v>36</v>
      </c>
      <c r="M82" s="7">
        <f>'5c. Customer Count-Connections'!F83</f>
        <v>5</v>
      </c>
      <c r="N82" s="7">
        <f>'5c. Customer Count-Connections'!G83</f>
        <v>2</v>
      </c>
      <c r="O82" s="7">
        <f>'5c. Customer Count-Connections'!H83</f>
        <v>24</v>
      </c>
      <c r="P82" s="7">
        <f>'5c. Customer Count-Connections'!I83</f>
        <v>910</v>
      </c>
      <c r="Q82" s="7">
        <f t="shared" si="1"/>
        <v>4661</v>
      </c>
      <c r="R82" s="39">
        <v>4829712.546240001</v>
      </c>
      <c r="S82" s="2">
        <v>81</v>
      </c>
      <c r="T82" s="39">
        <v>328476.0633052403</v>
      </c>
      <c r="V82" s="21">
        <v>81</v>
      </c>
    </row>
    <row r="83" spans="1:22">
      <c r="A83" s="2">
        <v>2016</v>
      </c>
      <c r="B83" s="2" t="s">
        <v>11</v>
      </c>
      <c r="C83" s="9">
        <v>250.79999999999995</v>
      </c>
      <c r="D83" s="9">
        <v>1.5</v>
      </c>
      <c r="E83" s="11">
        <v>31</v>
      </c>
      <c r="F83" s="12">
        <v>320</v>
      </c>
      <c r="G83" s="2">
        <v>1</v>
      </c>
      <c r="H83" s="128">
        <v>132</v>
      </c>
      <c r="I83" s="33">
        <v>702.3</v>
      </c>
      <c r="J83" s="7">
        <f>'5c. Customer Count-Connections'!C84</f>
        <v>3218</v>
      </c>
      <c r="K83" s="7">
        <f>'5c. Customer Count-Connections'!D84</f>
        <v>466</v>
      </c>
      <c r="L83" s="7">
        <f>'5c. Customer Count-Connections'!E84</f>
        <v>36</v>
      </c>
      <c r="M83" s="7">
        <f>'5c. Customer Count-Connections'!F84</f>
        <v>5</v>
      </c>
      <c r="N83" s="7">
        <f>'5c. Customer Count-Connections'!G84</f>
        <v>2</v>
      </c>
      <c r="O83" s="7">
        <f>'5c. Customer Count-Connections'!H84</f>
        <v>24</v>
      </c>
      <c r="P83" s="7">
        <f>'5c. Customer Count-Connections'!I84</f>
        <v>910</v>
      </c>
      <c r="Q83" s="7">
        <f t="shared" si="1"/>
        <v>4661</v>
      </c>
      <c r="R83" s="39">
        <v>4731581.3356800005</v>
      </c>
      <c r="S83" s="2">
        <v>82</v>
      </c>
      <c r="T83" s="39">
        <v>333715.44641020015</v>
      </c>
      <c r="V83" s="21">
        <v>82</v>
      </c>
    </row>
    <row r="84" spans="1:22">
      <c r="A84" s="2">
        <v>2016</v>
      </c>
      <c r="B84" s="2" t="s">
        <v>12</v>
      </c>
      <c r="C84" s="9">
        <v>383.15</v>
      </c>
      <c r="D84" s="9">
        <v>0</v>
      </c>
      <c r="E84" s="11">
        <v>30</v>
      </c>
      <c r="F84" s="12">
        <v>336</v>
      </c>
      <c r="G84" s="2">
        <v>1</v>
      </c>
      <c r="H84" s="128">
        <v>131.69999999999999</v>
      </c>
      <c r="I84" s="33">
        <v>680.08</v>
      </c>
      <c r="J84" s="7">
        <f>'5c. Customer Count-Connections'!C85</f>
        <v>3227</v>
      </c>
      <c r="K84" s="7">
        <f>'5c. Customer Count-Connections'!D85</f>
        <v>467</v>
      </c>
      <c r="L84" s="7">
        <f>'5c. Customer Count-Connections'!E85</f>
        <v>35</v>
      </c>
      <c r="M84" s="7">
        <f>'5c. Customer Count-Connections'!F85</f>
        <v>5</v>
      </c>
      <c r="N84" s="7">
        <f>'5c. Customer Count-Connections'!G85</f>
        <v>2</v>
      </c>
      <c r="O84" s="7">
        <f>'5c. Customer Count-Connections'!H85</f>
        <v>24</v>
      </c>
      <c r="P84" s="7">
        <f>'5c. Customer Count-Connections'!I85</f>
        <v>910</v>
      </c>
      <c r="Q84" s="7">
        <f t="shared" si="1"/>
        <v>4670</v>
      </c>
      <c r="R84" s="39">
        <v>4636842.8889600011</v>
      </c>
      <c r="S84" s="2">
        <v>83</v>
      </c>
      <c r="T84" s="39">
        <v>338954.82951515995</v>
      </c>
      <c r="V84" s="21">
        <v>83</v>
      </c>
    </row>
    <row r="85" spans="1:22">
      <c r="A85" s="2">
        <v>2016</v>
      </c>
      <c r="B85" s="2" t="s">
        <v>13</v>
      </c>
      <c r="C85" s="9">
        <v>678.6</v>
      </c>
      <c r="D85" s="9">
        <v>0</v>
      </c>
      <c r="E85" s="11">
        <v>31</v>
      </c>
      <c r="F85" s="12">
        <v>320</v>
      </c>
      <c r="G85" s="2">
        <v>0</v>
      </c>
      <c r="H85" s="128">
        <v>131.5</v>
      </c>
      <c r="I85" s="33">
        <v>678.47</v>
      </c>
      <c r="J85" s="7">
        <f>'5c. Customer Count-Connections'!C86</f>
        <v>3232</v>
      </c>
      <c r="K85" s="7">
        <f>'5c. Customer Count-Connections'!D86</f>
        <v>467</v>
      </c>
      <c r="L85" s="7">
        <f>'5c. Customer Count-Connections'!E86</f>
        <v>35</v>
      </c>
      <c r="M85" s="7">
        <f>'5c. Customer Count-Connections'!F86</f>
        <v>5</v>
      </c>
      <c r="N85" s="7">
        <f>'5c. Customer Count-Connections'!G86</f>
        <v>2</v>
      </c>
      <c r="O85" s="7">
        <f>'5c. Customer Count-Connections'!H86</f>
        <v>24</v>
      </c>
      <c r="P85" s="7">
        <f>'5c. Customer Count-Connections'!I86</f>
        <v>910</v>
      </c>
      <c r="Q85" s="7">
        <f t="shared" si="1"/>
        <v>4675</v>
      </c>
      <c r="R85" s="39">
        <v>4074210.2448000005</v>
      </c>
      <c r="S85" s="2">
        <v>84</v>
      </c>
      <c r="T85" s="39">
        <v>344194.2126201198</v>
      </c>
      <c r="V85" s="21">
        <v>84</v>
      </c>
    </row>
    <row r="86" spans="1:22">
      <c r="A86" s="2">
        <v>2017</v>
      </c>
      <c r="B86" s="2" t="s">
        <v>2</v>
      </c>
      <c r="C86" s="9">
        <v>683</v>
      </c>
      <c r="D86" s="9">
        <v>0</v>
      </c>
      <c r="E86" s="11">
        <v>31</v>
      </c>
      <c r="F86" s="11">
        <f>22*16</f>
        <v>352</v>
      </c>
      <c r="G86" s="2">
        <v>0</v>
      </c>
      <c r="H86" s="128">
        <v>132.1</v>
      </c>
      <c r="I86" s="33">
        <v>695.3</v>
      </c>
      <c r="J86" s="7">
        <f>'5c. Customer Count-Connections'!C87</f>
        <v>3230</v>
      </c>
      <c r="K86" s="7">
        <f>'5c. Customer Count-Connections'!D87</f>
        <v>467</v>
      </c>
      <c r="L86" s="7">
        <f>'5c. Customer Count-Connections'!E87</f>
        <v>35</v>
      </c>
      <c r="M86" s="7">
        <f>'5c. Customer Count-Connections'!F87</f>
        <v>5</v>
      </c>
      <c r="N86" s="7">
        <f>'5c. Customer Count-Connections'!G87</f>
        <v>2</v>
      </c>
      <c r="O86" s="7">
        <f>'5c. Customer Count-Connections'!H87</f>
        <v>24</v>
      </c>
      <c r="P86" s="7">
        <f>'5c. Customer Count-Connections'!I87</f>
        <v>910</v>
      </c>
      <c r="Q86" s="7">
        <f t="shared" si="1"/>
        <v>4673</v>
      </c>
      <c r="R86" s="39">
        <v>4687093.2816000003</v>
      </c>
      <c r="S86" s="2">
        <v>85</v>
      </c>
      <c r="T86" s="39">
        <v>346870.60298182809</v>
      </c>
      <c r="V86" s="21">
        <v>85</v>
      </c>
    </row>
    <row r="87" spans="1:22">
      <c r="A87" s="2">
        <v>2017</v>
      </c>
      <c r="B87" s="2" t="s">
        <v>3</v>
      </c>
      <c r="C87" s="9">
        <v>559.29999999999995</v>
      </c>
      <c r="D87" s="9">
        <v>0</v>
      </c>
      <c r="E87" s="11">
        <v>28</v>
      </c>
      <c r="F87" s="11">
        <f>19*16</f>
        <v>304</v>
      </c>
      <c r="G87" s="2">
        <v>0</v>
      </c>
      <c r="H87" s="128">
        <v>132.5</v>
      </c>
      <c r="I87" s="33">
        <v>696.5</v>
      </c>
      <c r="J87" s="7">
        <f>'5c. Customer Count-Connections'!C88</f>
        <v>3229</v>
      </c>
      <c r="K87" s="7">
        <f>'5c. Customer Count-Connections'!D88</f>
        <v>467</v>
      </c>
      <c r="L87" s="7">
        <f>'5c. Customer Count-Connections'!E88</f>
        <v>35</v>
      </c>
      <c r="M87" s="7">
        <f>'5c. Customer Count-Connections'!F88</f>
        <v>5</v>
      </c>
      <c r="N87" s="7">
        <f>'5c. Customer Count-Connections'!G88</f>
        <v>2</v>
      </c>
      <c r="O87" s="7">
        <f>'5c. Customer Count-Connections'!H88</f>
        <v>23</v>
      </c>
      <c r="P87" s="7">
        <f>'5c. Customer Count-Connections'!I88</f>
        <v>910</v>
      </c>
      <c r="Q87" s="7">
        <f t="shared" si="1"/>
        <v>4671</v>
      </c>
      <c r="R87" s="39">
        <v>4246252.9632000001</v>
      </c>
      <c r="S87" s="2">
        <v>86</v>
      </c>
      <c r="T87" s="39">
        <v>349546.99334353633</v>
      </c>
      <c r="V87" s="21">
        <v>86</v>
      </c>
    </row>
    <row r="88" spans="1:22">
      <c r="A88" s="2">
        <v>2017</v>
      </c>
      <c r="B88" s="2" t="s">
        <v>4</v>
      </c>
      <c r="C88" s="9">
        <v>649.80000000000007</v>
      </c>
      <c r="D88" s="9">
        <v>0</v>
      </c>
      <c r="E88" s="11">
        <v>31</v>
      </c>
      <c r="F88" s="11">
        <f>23*16</f>
        <v>368</v>
      </c>
      <c r="G88" s="2">
        <v>1</v>
      </c>
      <c r="H88" s="128">
        <v>133</v>
      </c>
      <c r="I88" s="33">
        <v>697.8</v>
      </c>
      <c r="J88" s="7">
        <f>'5c. Customer Count-Connections'!C89</f>
        <v>3238</v>
      </c>
      <c r="K88" s="7">
        <f>'5c. Customer Count-Connections'!D89</f>
        <v>467</v>
      </c>
      <c r="L88" s="7">
        <f>'5c. Customer Count-Connections'!E89</f>
        <v>35</v>
      </c>
      <c r="M88" s="7">
        <f>'5c. Customer Count-Connections'!F89</f>
        <v>5</v>
      </c>
      <c r="N88" s="7">
        <f>'5c. Customer Count-Connections'!G89</f>
        <v>2</v>
      </c>
      <c r="O88" s="7">
        <f>'5c. Customer Count-Connections'!H89</f>
        <v>23</v>
      </c>
      <c r="P88" s="7">
        <f>'5c. Customer Count-Connections'!I89</f>
        <v>908</v>
      </c>
      <c r="Q88" s="7">
        <f t="shared" si="1"/>
        <v>4678</v>
      </c>
      <c r="R88" s="39">
        <v>4726110.9715199992</v>
      </c>
      <c r="S88" s="2">
        <v>87</v>
      </c>
      <c r="T88" s="39">
        <v>352223.38370524463</v>
      </c>
      <c r="V88" s="21">
        <v>87</v>
      </c>
    </row>
    <row r="89" spans="1:22">
      <c r="A89" s="2">
        <v>2017</v>
      </c>
      <c r="B89" s="2" t="s">
        <v>5</v>
      </c>
      <c r="C89" s="9">
        <v>306.90000000000003</v>
      </c>
      <c r="D89" s="9">
        <v>0</v>
      </c>
      <c r="E89" s="11">
        <v>30</v>
      </c>
      <c r="F89" s="11">
        <f>19*16</f>
        <v>304</v>
      </c>
      <c r="G89" s="2">
        <v>1</v>
      </c>
      <c r="H89" s="128">
        <v>133.6</v>
      </c>
      <c r="I89" s="33">
        <v>705.6</v>
      </c>
      <c r="J89" s="7">
        <f>'5c. Customer Count-Connections'!C90</f>
        <v>3244</v>
      </c>
      <c r="K89" s="7">
        <f>'5c. Customer Count-Connections'!D90</f>
        <v>474</v>
      </c>
      <c r="L89" s="7">
        <f>'5c. Customer Count-Connections'!E90</f>
        <v>36</v>
      </c>
      <c r="M89" s="7">
        <f>'5c. Customer Count-Connections'!F90</f>
        <v>5</v>
      </c>
      <c r="N89" s="7">
        <f>'5c. Customer Count-Connections'!G90</f>
        <v>2</v>
      </c>
      <c r="O89" s="7">
        <f>'5c. Customer Count-Connections'!H90</f>
        <v>23</v>
      </c>
      <c r="P89" s="7">
        <f>'5c. Customer Count-Connections'!I90</f>
        <v>908</v>
      </c>
      <c r="Q89" s="7">
        <f t="shared" si="1"/>
        <v>4692</v>
      </c>
      <c r="R89" s="39">
        <v>4367735.7321600001</v>
      </c>
      <c r="S89" s="2">
        <v>88</v>
      </c>
      <c r="T89" s="39">
        <v>354899.77406695287</v>
      </c>
      <c r="V89" s="21">
        <v>88</v>
      </c>
    </row>
    <row r="90" spans="1:22">
      <c r="A90" s="2">
        <v>2017</v>
      </c>
      <c r="B90" s="2" t="s">
        <v>6</v>
      </c>
      <c r="C90" s="9">
        <v>228.2</v>
      </c>
      <c r="D90" s="9">
        <v>2.8</v>
      </c>
      <c r="E90" s="11">
        <v>31</v>
      </c>
      <c r="F90" s="11">
        <f>22*16</f>
        <v>352</v>
      </c>
      <c r="G90" s="2">
        <v>1</v>
      </c>
      <c r="H90" s="128">
        <v>133.69999999999999</v>
      </c>
      <c r="I90" s="33">
        <v>717.2</v>
      </c>
      <c r="J90" s="7">
        <f>'5c. Customer Count-Connections'!C91</f>
        <v>3246</v>
      </c>
      <c r="K90" s="7">
        <f>'5c. Customer Count-Connections'!D91</f>
        <v>477</v>
      </c>
      <c r="L90" s="7">
        <f>'5c. Customer Count-Connections'!E91</f>
        <v>35</v>
      </c>
      <c r="M90" s="7">
        <f>'5c. Customer Count-Connections'!F91</f>
        <v>5</v>
      </c>
      <c r="N90" s="7">
        <f>'5c. Customer Count-Connections'!G91</f>
        <v>2</v>
      </c>
      <c r="O90" s="7">
        <f>'5c. Customer Count-Connections'!H91</f>
        <v>23</v>
      </c>
      <c r="P90" s="7">
        <f>'5c. Customer Count-Connections'!I91</f>
        <v>908</v>
      </c>
      <c r="Q90" s="7">
        <f t="shared" si="1"/>
        <v>4696</v>
      </c>
      <c r="R90" s="39">
        <v>4615335.4579200009</v>
      </c>
      <c r="S90" s="2">
        <v>89</v>
      </c>
      <c r="T90" s="39">
        <v>357576.16442866111</v>
      </c>
      <c r="V90" s="21">
        <v>89</v>
      </c>
    </row>
    <row r="91" spans="1:22">
      <c r="A91" s="2">
        <v>2017</v>
      </c>
      <c r="B91" s="2" t="s">
        <v>7</v>
      </c>
      <c r="C91" s="9">
        <v>57.099999999999994</v>
      </c>
      <c r="D91" s="9">
        <v>33.200000000000003</v>
      </c>
      <c r="E91" s="11">
        <v>30</v>
      </c>
      <c r="F91" s="11">
        <f>22*16</f>
        <v>352</v>
      </c>
      <c r="G91" s="2">
        <v>0</v>
      </c>
      <c r="H91" s="128">
        <v>134.19999999999999</v>
      </c>
      <c r="I91" s="33">
        <v>736.2</v>
      </c>
      <c r="J91" s="7">
        <f>'5c. Customer Count-Connections'!C92</f>
        <v>3242</v>
      </c>
      <c r="K91" s="7">
        <f>'5c. Customer Count-Connections'!D92</f>
        <v>476</v>
      </c>
      <c r="L91" s="7">
        <f>'5c. Customer Count-Connections'!E92</f>
        <v>35</v>
      </c>
      <c r="M91" s="7">
        <f>'5c. Customer Count-Connections'!F92</f>
        <v>5</v>
      </c>
      <c r="N91" s="7">
        <f>'5c. Customer Count-Connections'!G92</f>
        <v>2</v>
      </c>
      <c r="O91" s="7">
        <f>'5c. Customer Count-Connections'!H92</f>
        <v>23</v>
      </c>
      <c r="P91" s="7">
        <f>'5c. Customer Count-Connections'!I92</f>
        <v>908</v>
      </c>
      <c r="Q91" s="7">
        <f t="shared" si="1"/>
        <v>4691</v>
      </c>
      <c r="R91" s="39">
        <v>4628753.59968</v>
      </c>
      <c r="S91" s="2">
        <v>90</v>
      </c>
      <c r="T91" s="39">
        <v>360252.55479036941</v>
      </c>
      <c r="V91" s="21">
        <v>90</v>
      </c>
    </row>
    <row r="92" spans="1:22">
      <c r="A92" s="2">
        <v>2017</v>
      </c>
      <c r="B92" s="2" t="s">
        <v>8</v>
      </c>
      <c r="C92" s="9">
        <v>9.4</v>
      </c>
      <c r="D92" s="9">
        <v>37.800000000000004</v>
      </c>
      <c r="E92" s="11">
        <v>31</v>
      </c>
      <c r="F92" s="11">
        <f>20*16</f>
        <v>320</v>
      </c>
      <c r="G92" s="2">
        <v>0</v>
      </c>
      <c r="H92" s="128">
        <v>134</v>
      </c>
      <c r="I92" s="33">
        <v>747.1</v>
      </c>
      <c r="J92" s="7">
        <f>'5c. Customer Count-Connections'!C93</f>
        <v>3249</v>
      </c>
      <c r="K92" s="7">
        <f>'5c. Customer Count-Connections'!D93</f>
        <v>477</v>
      </c>
      <c r="L92" s="7">
        <f>'5c. Customer Count-Connections'!E93</f>
        <v>35</v>
      </c>
      <c r="M92" s="7">
        <f>'5c. Customer Count-Connections'!F93</f>
        <v>5</v>
      </c>
      <c r="N92" s="7">
        <f>'5c. Customer Count-Connections'!G93</f>
        <v>2</v>
      </c>
      <c r="O92" s="7">
        <f>'5c. Customer Count-Connections'!H93</f>
        <v>23</v>
      </c>
      <c r="P92" s="7">
        <f>'5c. Customer Count-Connections'!I93</f>
        <v>908</v>
      </c>
      <c r="Q92" s="7">
        <f t="shared" si="1"/>
        <v>4699</v>
      </c>
      <c r="R92" s="39">
        <v>4242128.5584000004</v>
      </c>
      <c r="S92" s="2">
        <v>91</v>
      </c>
      <c r="T92" s="39">
        <v>362928.94515207765</v>
      </c>
      <c r="V92" s="21">
        <v>91</v>
      </c>
    </row>
    <row r="93" spans="1:22">
      <c r="A93" s="2">
        <v>2017</v>
      </c>
      <c r="B93" s="2" t="s">
        <v>9</v>
      </c>
      <c r="C93" s="9">
        <v>47.399999999999991</v>
      </c>
      <c r="D93" s="9">
        <v>26.3</v>
      </c>
      <c r="E93" s="11">
        <v>31</v>
      </c>
      <c r="F93" s="11">
        <f>22*16</f>
        <v>352</v>
      </c>
      <c r="G93" s="2">
        <v>0</v>
      </c>
      <c r="H93" s="128">
        <v>133.80000000000001</v>
      </c>
      <c r="I93" s="33">
        <v>752.8</v>
      </c>
      <c r="J93" s="7">
        <f>'5c. Customer Count-Connections'!C94</f>
        <v>3252</v>
      </c>
      <c r="K93" s="7">
        <f>'5c. Customer Count-Connections'!D94</f>
        <v>475</v>
      </c>
      <c r="L93" s="7">
        <f>'5c. Customer Count-Connections'!E94</f>
        <v>35</v>
      </c>
      <c r="M93" s="7">
        <f>'5c. Customer Count-Connections'!F94</f>
        <v>5</v>
      </c>
      <c r="N93" s="7">
        <f>'5c. Customer Count-Connections'!G94</f>
        <v>2</v>
      </c>
      <c r="O93" s="7">
        <f>'5c. Customer Count-Connections'!H94</f>
        <v>23</v>
      </c>
      <c r="P93" s="7">
        <f>'5c. Customer Count-Connections'!I94</f>
        <v>908</v>
      </c>
      <c r="Q93" s="7">
        <f t="shared" si="1"/>
        <v>4700</v>
      </c>
      <c r="R93" s="39">
        <v>4968790.0761599997</v>
      </c>
      <c r="S93" s="2">
        <v>92</v>
      </c>
      <c r="T93" s="39">
        <v>365605.33551378595</v>
      </c>
      <c r="V93" s="21">
        <v>92</v>
      </c>
    </row>
    <row r="94" spans="1:22">
      <c r="A94" s="2">
        <v>2017</v>
      </c>
      <c r="B94" s="2" t="s">
        <v>10</v>
      </c>
      <c r="C94" s="9">
        <v>92.4</v>
      </c>
      <c r="D94" s="9">
        <v>38.799999999999997</v>
      </c>
      <c r="E94" s="11">
        <v>30</v>
      </c>
      <c r="F94" s="11">
        <f>20*16</f>
        <v>320</v>
      </c>
      <c r="G94" s="2">
        <v>1</v>
      </c>
      <c r="H94" s="128">
        <v>134.4</v>
      </c>
      <c r="I94" s="33">
        <v>744.4</v>
      </c>
      <c r="J94" s="7">
        <f>'5c. Customer Count-Connections'!C95</f>
        <v>3249</v>
      </c>
      <c r="K94" s="7">
        <f>'5c. Customer Count-Connections'!D95</f>
        <v>475</v>
      </c>
      <c r="L94" s="7">
        <f>'5c. Customer Count-Connections'!E95</f>
        <v>35</v>
      </c>
      <c r="M94" s="7">
        <f>'5c. Customer Count-Connections'!F95</f>
        <v>5</v>
      </c>
      <c r="N94" s="7">
        <f>'5c. Customer Count-Connections'!G95</f>
        <v>2</v>
      </c>
      <c r="O94" s="7">
        <f>'5c. Customer Count-Connections'!H95</f>
        <v>23</v>
      </c>
      <c r="P94" s="7">
        <f>'5c. Customer Count-Connections'!I95</f>
        <v>908</v>
      </c>
      <c r="Q94" s="7">
        <f t="shared" si="1"/>
        <v>4697</v>
      </c>
      <c r="R94" s="39">
        <v>4504351.1932799993</v>
      </c>
      <c r="S94" s="2">
        <v>93</v>
      </c>
      <c r="T94" s="39">
        <v>368281.72587549419</v>
      </c>
      <c r="V94" s="21">
        <v>93</v>
      </c>
    </row>
    <row r="95" spans="1:22">
      <c r="A95" s="2">
        <v>2017</v>
      </c>
      <c r="B95" s="2" t="s">
        <v>11</v>
      </c>
      <c r="C95" s="9">
        <v>206.3</v>
      </c>
      <c r="D95" s="9">
        <v>1.4</v>
      </c>
      <c r="E95" s="11">
        <v>31</v>
      </c>
      <c r="F95" s="11">
        <f>21*16</f>
        <v>336</v>
      </c>
      <c r="G95" s="2">
        <v>1</v>
      </c>
      <c r="H95" s="128">
        <v>134.30000000000001</v>
      </c>
      <c r="I95" s="33">
        <v>735</v>
      </c>
      <c r="J95" s="7">
        <f>'5c. Customer Count-Connections'!C96</f>
        <v>3252</v>
      </c>
      <c r="K95" s="7">
        <f>'5c. Customer Count-Connections'!D96</f>
        <v>475</v>
      </c>
      <c r="L95" s="7">
        <f>'5c. Customer Count-Connections'!E96</f>
        <v>35</v>
      </c>
      <c r="M95" s="7">
        <f>'5c. Customer Count-Connections'!F96</f>
        <v>5</v>
      </c>
      <c r="N95" s="7">
        <f>'5c. Customer Count-Connections'!G96</f>
        <v>2</v>
      </c>
      <c r="O95" s="7">
        <f>'5c. Customer Count-Connections'!H96</f>
        <v>23</v>
      </c>
      <c r="P95" s="7">
        <f>'5c. Customer Count-Connections'!I96</f>
        <v>908</v>
      </c>
      <c r="Q95" s="7">
        <f t="shared" si="1"/>
        <v>4700</v>
      </c>
      <c r="R95" s="39">
        <v>4755960.1324800001</v>
      </c>
      <c r="S95" s="2">
        <v>94</v>
      </c>
      <c r="T95" s="39">
        <v>370958.11623720248</v>
      </c>
      <c r="V95" s="21">
        <v>94</v>
      </c>
    </row>
    <row r="96" spans="1:22">
      <c r="A96" s="2">
        <v>2017</v>
      </c>
      <c r="B96" s="2" t="s">
        <v>12</v>
      </c>
      <c r="C96" s="9">
        <v>506.2999999999999</v>
      </c>
      <c r="D96" s="9">
        <v>0</v>
      </c>
      <c r="E96" s="11">
        <v>30</v>
      </c>
      <c r="F96" s="11">
        <f>22*16</f>
        <v>352</v>
      </c>
      <c r="G96" s="2">
        <v>1</v>
      </c>
      <c r="H96" s="128">
        <v>134.6</v>
      </c>
      <c r="I96" s="33">
        <v>726.2</v>
      </c>
      <c r="J96" s="7">
        <f>'5c. Customer Count-Connections'!C97</f>
        <v>3256</v>
      </c>
      <c r="K96" s="7">
        <f>'5c. Customer Count-Connections'!D97</f>
        <v>472</v>
      </c>
      <c r="L96" s="7">
        <f>'5c. Customer Count-Connections'!E97</f>
        <v>33</v>
      </c>
      <c r="M96" s="7">
        <f>'5c. Customer Count-Connections'!F97</f>
        <v>5</v>
      </c>
      <c r="N96" s="7">
        <f>'5c. Customer Count-Connections'!G97</f>
        <v>2</v>
      </c>
      <c r="O96" s="7">
        <f>'5c. Customer Count-Connections'!H97</f>
        <v>23</v>
      </c>
      <c r="P96" s="7">
        <f>'5c. Customer Count-Connections'!I97</f>
        <v>908</v>
      </c>
      <c r="Q96" s="7">
        <f t="shared" si="1"/>
        <v>4699</v>
      </c>
      <c r="R96" s="39">
        <v>4578001.3094400009</v>
      </c>
      <c r="S96" s="2">
        <v>95</v>
      </c>
      <c r="T96" s="39">
        <v>373634.50659891072</v>
      </c>
      <c r="V96" s="21">
        <v>95</v>
      </c>
    </row>
    <row r="97" spans="1:22">
      <c r="A97" s="2">
        <v>2017</v>
      </c>
      <c r="B97" s="2" t="s">
        <v>13</v>
      </c>
      <c r="C97" s="9">
        <v>775.09999999999991</v>
      </c>
      <c r="D97" s="9">
        <v>0</v>
      </c>
      <c r="E97" s="11">
        <v>31</v>
      </c>
      <c r="F97" s="11">
        <f>19*16</f>
        <v>304</v>
      </c>
      <c r="G97" s="2">
        <v>0</v>
      </c>
      <c r="H97" s="128">
        <v>134</v>
      </c>
      <c r="I97" s="33">
        <v>716.5</v>
      </c>
      <c r="J97" s="7">
        <f>'5c. Customer Count-Connections'!C98</f>
        <v>3261</v>
      </c>
      <c r="K97" s="7">
        <f>'5c. Customer Count-Connections'!D98</f>
        <v>471</v>
      </c>
      <c r="L97" s="7">
        <f>'5c. Customer Count-Connections'!E98</f>
        <v>33</v>
      </c>
      <c r="M97" s="7">
        <f>'5c. Customer Count-Connections'!F98</f>
        <v>5</v>
      </c>
      <c r="N97" s="7">
        <f>'5c. Customer Count-Connections'!G98</f>
        <v>2</v>
      </c>
      <c r="O97" s="7">
        <f>'5c. Customer Count-Connections'!H98</f>
        <v>23</v>
      </c>
      <c r="P97" s="7">
        <f>'5c. Customer Count-Connections'!I98</f>
        <v>908</v>
      </c>
      <c r="Q97" s="7">
        <f t="shared" si="1"/>
        <v>4703</v>
      </c>
      <c r="R97" s="39">
        <v>3605478.5923200008</v>
      </c>
      <c r="S97" s="2">
        <v>96</v>
      </c>
      <c r="T97" s="39">
        <v>376310.89696061896</v>
      </c>
      <c r="V97" s="21">
        <v>96</v>
      </c>
    </row>
    <row r="98" spans="1:22">
      <c r="A98" s="2">
        <v>2018</v>
      </c>
      <c r="B98" s="2" t="s">
        <v>2</v>
      </c>
      <c r="C98" s="9">
        <v>792.89999999999986</v>
      </c>
      <c r="D98" s="9">
        <v>0</v>
      </c>
      <c r="E98" s="11">
        <v>31</v>
      </c>
      <c r="F98" s="11">
        <f>22*16</f>
        <v>352</v>
      </c>
      <c r="G98" s="2">
        <v>0</v>
      </c>
      <c r="H98" s="128">
        <v>135.30000000000001</v>
      </c>
      <c r="I98" s="33">
        <v>703.7</v>
      </c>
      <c r="J98" s="7">
        <f>'5c. Customer Count-Connections'!C99</f>
        <v>3266</v>
      </c>
      <c r="K98" s="7">
        <f>'5c. Customer Count-Connections'!D99</f>
        <v>468</v>
      </c>
      <c r="L98" s="7">
        <f>'5c. Customer Count-Connections'!E99</f>
        <v>33</v>
      </c>
      <c r="M98" s="7">
        <f>'5c. Customer Count-Connections'!F99</f>
        <v>5</v>
      </c>
      <c r="N98" s="7">
        <f>'5c. Customer Count-Connections'!G99</f>
        <v>2</v>
      </c>
      <c r="O98" s="7">
        <f>'5c. Customer Count-Connections'!H99</f>
        <v>23</v>
      </c>
      <c r="P98" s="7">
        <f>'5c. Customer Count-Connections'!I99</f>
        <v>908</v>
      </c>
      <c r="Q98" s="7">
        <f t="shared" si="1"/>
        <v>4705</v>
      </c>
      <c r="R98" s="39">
        <v>4526352.5299200006</v>
      </c>
      <c r="S98" s="2">
        <v>97</v>
      </c>
      <c r="T98" s="39">
        <v>381012.36350388575</v>
      </c>
      <c r="V98" s="21">
        <v>97</v>
      </c>
    </row>
    <row r="99" spans="1:22">
      <c r="A99" s="2">
        <v>2018</v>
      </c>
      <c r="B99" s="2" t="s">
        <v>3</v>
      </c>
      <c r="C99" s="9">
        <v>619.6</v>
      </c>
      <c r="D99" s="9">
        <v>0</v>
      </c>
      <c r="E99" s="11">
        <v>28</v>
      </c>
      <c r="F99" s="11">
        <f>19*16</f>
        <v>304</v>
      </c>
      <c r="G99" s="2">
        <v>0</v>
      </c>
      <c r="H99" s="128">
        <v>136</v>
      </c>
      <c r="I99" s="33">
        <v>692.6</v>
      </c>
      <c r="J99" s="7">
        <f>'5c. Customer Count-Connections'!C100</f>
        <v>3266</v>
      </c>
      <c r="K99" s="7">
        <f>'5c. Customer Count-Connections'!D100</f>
        <v>468</v>
      </c>
      <c r="L99" s="7">
        <f>'5c. Customer Count-Connections'!E100</f>
        <v>33</v>
      </c>
      <c r="M99" s="7">
        <f>'5c. Customer Count-Connections'!F100</f>
        <v>5</v>
      </c>
      <c r="N99" s="7">
        <f>'5c. Customer Count-Connections'!G100</f>
        <v>4</v>
      </c>
      <c r="O99" s="7">
        <f>'5c. Customer Count-Connections'!H100</f>
        <v>23</v>
      </c>
      <c r="P99" s="7">
        <f>'5c. Customer Count-Connections'!I100</f>
        <v>908</v>
      </c>
      <c r="Q99" s="7">
        <f t="shared" si="1"/>
        <v>4707</v>
      </c>
      <c r="R99" s="39">
        <v>4091881.8355200007</v>
      </c>
      <c r="S99" s="2">
        <v>98</v>
      </c>
      <c r="T99" s="39">
        <v>385713.83004715247</v>
      </c>
      <c r="V99" s="21">
        <v>98</v>
      </c>
    </row>
    <row r="100" spans="1:22">
      <c r="A100" s="2">
        <v>2018</v>
      </c>
      <c r="B100" s="2" t="s">
        <v>4</v>
      </c>
      <c r="C100" s="9">
        <v>631.59999999999991</v>
      </c>
      <c r="D100" s="9">
        <v>0</v>
      </c>
      <c r="E100" s="11">
        <v>31</v>
      </c>
      <c r="F100" s="11">
        <f>21*16</f>
        <v>336</v>
      </c>
      <c r="G100" s="2">
        <v>1</v>
      </c>
      <c r="H100" s="128">
        <v>136.69999999999999</v>
      </c>
      <c r="I100" s="33">
        <v>688.9</v>
      </c>
      <c r="J100" s="7">
        <f>'5c. Customer Count-Connections'!C101</f>
        <v>3265</v>
      </c>
      <c r="K100" s="7">
        <f>'5c. Customer Count-Connections'!D101</f>
        <v>469</v>
      </c>
      <c r="L100" s="7">
        <f>'5c. Customer Count-Connections'!E101</f>
        <v>33</v>
      </c>
      <c r="M100" s="7">
        <f>'5c. Customer Count-Connections'!F101</f>
        <v>5</v>
      </c>
      <c r="N100" s="7">
        <f>'5c. Customer Count-Connections'!G101</f>
        <v>2</v>
      </c>
      <c r="O100" s="7">
        <f>'5c. Customer Count-Connections'!H101</f>
        <v>23</v>
      </c>
      <c r="P100" s="7">
        <f>'5c. Customer Count-Connections'!I101</f>
        <v>908</v>
      </c>
      <c r="Q100" s="7">
        <f t="shared" si="1"/>
        <v>4705</v>
      </c>
      <c r="R100" s="39">
        <v>4458043.20096</v>
      </c>
      <c r="S100" s="2">
        <v>99</v>
      </c>
      <c r="T100" s="39">
        <v>390415.29659041925</v>
      </c>
      <c r="V100" s="21">
        <v>99</v>
      </c>
    </row>
    <row r="101" spans="1:22">
      <c r="A101" s="2">
        <v>2018</v>
      </c>
      <c r="B101" s="2" t="s">
        <v>5</v>
      </c>
      <c r="C101" s="9">
        <v>515.69999999999993</v>
      </c>
      <c r="D101" s="9">
        <v>0</v>
      </c>
      <c r="E101" s="11">
        <v>30</v>
      </c>
      <c r="F101" s="11">
        <f>21*16</f>
        <v>336</v>
      </c>
      <c r="G101" s="2">
        <v>1</v>
      </c>
      <c r="H101" s="128">
        <v>136.80000000000001</v>
      </c>
      <c r="I101" s="33">
        <v>695.4</v>
      </c>
      <c r="J101" s="7">
        <f>'5c. Customer Count-Connections'!C102</f>
        <v>3268</v>
      </c>
      <c r="K101" s="7">
        <f>'5c. Customer Count-Connections'!D102</f>
        <v>471</v>
      </c>
      <c r="L101" s="7">
        <f>'5c. Customer Count-Connections'!E102</f>
        <v>33</v>
      </c>
      <c r="M101" s="7">
        <f>'5c. Customer Count-Connections'!F102</f>
        <v>5</v>
      </c>
      <c r="N101" s="7">
        <f>'5c. Customer Count-Connections'!G102</f>
        <v>2</v>
      </c>
      <c r="O101" s="7">
        <f>'5c. Customer Count-Connections'!H102</f>
        <v>23</v>
      </c>
      <c r="P101" s="7">
        <f>'5c. Customer Count-Connections'!I102</f>
        <v>908</v>
      </c>
      <c r="Q101" s="7">
        <f t="shared" si="1"/>
        <v>4710</v>
      </c>
      <c r="R101" s="39">
        <v>4217020.4649599995</v>
      </c>
      <c r="S101" s="2">
        <v>100</v>
      </c>
      <c r="T101" s="39">
        <v>395116.76313368598</v>
      </c>
      <c r="V101" s="21">
        <v>100</v>
      </c>
    </row>
    <row r="102" spans="1:22">
      <c r="A102" s="2">
        <v>2018</v>
      </c>
      <c r="B102" s="2" t="s">
        <v>6</v>
      </c>
      <c r="C102" s="9">
        <v>120</v>
      </c>
      <c r="D102" s="9">
        <v>30.699999999999996</v>
      </c>
      <c r="E102" s="11">
        <v>31</v>
      </c>
      <c r="F102" s="11">
        <f>22*16</f>
        <v>352</v>
      </c>
      <c r="G102" s="2">
        <v>1</v>
      </c>
      <c r="H102" s="128">
        <v>136.69999999999999</v>
      </c>
      <c r="I102" s="33">
        <v>704.2</v>
      </c>
      <c r="J102" s="7">
        <f>'5c. Customer Count-Connections'!C103</f>
        <v>3279</v>
      </c>
      <c r="K102" s="7">
        <f>'5c. Customer Count-Connections'!D103</f>
        <v>470</v>
      </c>
      <c r="L102" s="7">
        <f>'5c. Customer Count-Connections'!E103</f>
        <v>33</v>
      </c>
      <c r="M102" s="7">
        <f>'5c. Customer Count-Connections'!F103</f>
        <v>5</v>
      </c>
      <c r="N102" s="7">
        <f>'5c. Customer Count-Connections'!G103</f>
        <v>2</v>
      </c>
      <c r="O102" s="7">
        <f>'5c. Customer Count-Connections'!H103</f>
        <v>23</v>
      </c>
      <c r="P102" s="7">
        <f>'5c. Customer Count-Connections'!I103</f>
        <v>908</v>
      </c>
      <c r="Q102" s="7">
        <f t="shared" si="1"/>
        <v>4720</v>
      </c>
      <c r="R102" s="39">
        <v>4625443.2067200011</v>
      </c>
      <c r="S102" s="2">
        <v>101</v>
      </c>
      <c r="T102" s="39">
        <v>399818.22967695276</v>
      </c>
      <c r="V102" s="21">
        <v>101</v>
      </c>
    </row>
    <row r="103" spans="1:22">
      <c r="A103" s="2">
        <v>2018</v>
      </c>
      <c r="B103" s="2" t="s">
        <v>7</v>
      </c>
      <c r="C103" s="9">
        <v>46.500000000000007</v>
      </c>
      <c r="D103" s="9">
        <v>28.7</v>
      </c>
      <c r="E103" s="11">
        <v>30</v>
      </c>
      <c r="F103" s="11">
        <f>21*16</f>
        <v>336</v>
      </c>
      <c r="G103" s="2">
        <v>0</v>
      </c>
      <c r="H103" s="128">
        <v>137.5</v>
      </c>
      <c r="I103" s="33">
        <v>720.2</v>
      </c>
      <c r="J103" s="7">
        <f>'5c. Customer Count-Connections'!C104</f>
        <v>3273</v>
      </c>
      <c r="K103" s="7">
        <f>'5c. Customer Count-Connections'!D104</f>
        <v>471</v>
      </c>
      <c r="L103" s="7">
        <f>'5c. Customer Count-Connections'!E104</f>
        <v>34</v>
      </c>
      <c r="M103" s="7">
        <f>'5c. Customer Count-Connections'!F104</f>
        <v>5</v>
      </c>
      <c r="N103" s="7">
        <f>'5c. Customer Count-Connections'!G104</f>
        <v>2</v>
      </c>
      <c r="O103" s="7">
        <f>'5c. Customer Count-Connections'!H104</f>
        <v>23</v>
      </c>
      <c r="P103" s="7">
        <f>'5c. Customer Count-Connections'!I104</f>
        <v>908</v>
      </c>
      <c r="Q103" s="7">
        <f t="shared" si="1"/>
        <v>4716</v>
      </c>
      <c r="R103" s="39">
        <v>4420601.9596800003</v>
      </c>
      <c r="S103" s="2">
        <v>102</v>
      </c>
      <c r="T103" s="39">
        <v>404519.69622021948</v>
      </c>
      <c r="V103" s="21">
        <v>102</v>
      </c>
    </row>
    <row r="104" spans="1:22">
      <c r="A104" s="2">
        <v>2018</v>
      </c>
      <c r="B104" s="2" t="s">
        <v>8</v>
      </c>
      <c r="C104" s="9">
        <v>11</v>
      </c>
      <c r="D104" s="9">
        <v>77.300000000000026</v>
      </c>
      <c r="E104" s="11">
        <v>31</v>
      </c>
      <c r="F104" s="11">
        <f>21*16</f>
        <v>336</v>
      </c>
      <c r="G104" s="2">
        <v>0</v>
      </c>
      <c r="H104" s="128">
        <v>138</v>
      </c>
      <c r="I104" s="33">
        <v>739.3</v>
      </c>
      <c r="J104" s="7">
        <f>'5c. Customer Count-Connections'!C105</f>
        <v>3279</v>
      </c>
      <c r="K104" s="7">
        <f>'5c. Customer Count-Connections'!D105</f>
        <v>472</v>
      </c>
      <c r="L104" s="7">
        <f>'5c. Customer Count-Connections'!E105</f>
        <v>34</v>
      </c>
      <c r="M104" s="7">
        <f>'5c. Customer Count-Connections'!F105</f>
        <v>5</v>
      </c>
      <c r="N104" s="7">
        <f>'5c. Customer Count-Connections'!G105</f>
        <v>2</v>
      </c>
      <c r="O104" s="7">
        <f>'5c. Customer Count-Connections'!H105</f>
        <v>23</v>
      </c>
      <c r="P104" s="7">
        <f>'5c. Customer Count-Connections'!I105</f>
        <v>908</v>
      </c>
      <c r="Q104" s="7">
        <f t="shared" si="1"/>
        <v>4723</v>
      </c>
      <c r="R104" s="39">
        <v>4194517.0176000008</v>
      </c>
      <c r="S104" s="2">
        <v>103</v>
      </c>
      <c r="T104" s="39">
        <v>409221.16276348627</v>
      </c>
      <c r="V104" s="21">
        <v>103</v>
      </c>
    </row>
    <row r="105" spans="1:22">
      <c r="A105" s="2">
        <v>2018</v>
      </c>
      <c r="B105" s="2" t="s">
        <v>9</v>
      </c>
      <c r="C105" s="9">
        <v>5.7</v>
      </c>
      <c r="D105" s="9">
        <v>80.900000000000006</v>
      </c>
      <c r="E105" s="11">
        <v>31</v>
      </c>
      <c r="F105" s="11">
        <f>22*16</f>
        <v>352</v>
      </c>
      <c r="G105" s="2">
        <v>0</v>
      </c>
      <c r="H105" s="128">
        <v>137.9</v>
      </c>
      <c r="I105" s="33">
        <v>747.9</v>
      </c>
      <c r="J105" s="7">
        <f>'5c. Customer Count-Connections'!C106</f>
        <v>3285</v>
      </c>
      <c r="K105" s="7">
        <f>'5c. Customer Count-Connections'!D106</f>
        <v>470</v>
      </c>
      <c r="L105" s="7">
        <f>'5c. Customer Count-Connections'!E106</f>
        <v>35</v>
      </c>
      <c r="M105" s="7">
        <f>'5c. Customer Count-Connections'!F106</f>
        <v>5</v>
      </c>
      <c r="N105" s="7">
        <f>'5c. Customer Count-Connections'!G106</f>
        <v>2</v>
      </c>
      <c r="O105" s="7">
        <f>'5c. Customer Count-Connections'!H106</f>
        <v>23</v>
      </c>
      <c r="P105" s="7">
        <f>'5c. Customer Count-Connections'!I106</f>
        <v>908</v>
      </c>
      <c r="Q105" s="7">
        <f t="shared" si="1"/>
        <v>4728</v>
      </c>
      <c r="R105" s="39">
        <v>4725688.9939200003</v>
      </c>
      <c r="S105" s="2">
        <v>104</v>
      </c>
      <c r="T105" s="39">
        <v>413922.62930675299</v>
      </c>
      <c r="V105" s="21">
        <v>104</v>
      </c>
    </row>
    <row r="106" spans="1:22">
      <c r="A106" s="2">
        <v>2018</v>
      </c>
      <c r="B106" s="2" t="s">
        <v>10</v>
      </c>
      <c r="C106" s="9">
        <v>87.899999999999991</v>
      </c>
      <c r="D106" s="9">
        <v>46.099999999999994</v>
      </c>
      <c r="E106" s="11">
        <v>30</v>
      </c>
      <c r="F106" s="11">
        <f>19*16</f>
        <v>304</v>
      </c>
      <c r="G106" s="2">
        <v>1</v>
      </c>
      <c r="H106" s="128">
        <v>137.4</v>
      </c>
      <c r="I106" s="33">
        <v>745.5</v>
      </c>
      <c r="J106" s="7">
        <f>'5c. Customer Count-Connections'!C107</f>
        <v>3290</v>
      </c>
      <c r="K106" s="7">
        <f>'5c. Customer Count-Connections'!D107</f>
        <v>471</v>
      </c>
      <c r="L106" s="7">
        <f>'5c. Customer Count-Connections'!E107</f>
        <v>35</v>
      </c>
      <c r="M106" s="7">
        <f>'5c. Customer Count-Connections'!F107</f>
        <v>5</v>
      </c>
      <c r="N106" s="7">
        <f>'5c. Customer Count-Connections'!G107</f>
        <v>2</v>
      </c>
      <c r="O106" s="7">
        <f>'5c. Customer Count-Connections'!H107</f>
        <v>23</v>
      </c>
      <c r="P106" s="7">
        <f>'5c. Customer Count-Connections'!I107</f>
        <v>908</v>
      </c>
      <c r="Q106" s="7">
        <f t="shared" si="1"/>
        <v>4734</v>
      </c>
      <c r="R106" s="39">
        <v>4238331.9321600003</v>
      </c>
      <c r="S106" s="2">
        <v>105</v>
      </c>
      <c r="T106" s="39">
        <v>418624.09585001977</v>
      </c>
      <c r="V106" s="21">
        <v>105</v>
      </c>
    </row>
    <row r="107" spans="1:22">
      <c r="A107" s="2">
        <v>2018</v>
      </c>
      <c r="B107" s="2" t="s">
        <v>11</v>
      </c>
      <c r="C107" s="9">
        <v>338.7</v>
      </c>
      <c r="D107" s="9">
        <v>7.9</v>
      </c>
      <c r="E107" s="11">
        <v>31</v>
      </c>
      <c r="F107" s="11">
        <f>22*16</f>
        <v>352</v>
      </c>
      <c r="G107" s="2">
        <v>1</v>
      </c>
      <c r="H107" s="128">
        <v>137.9</v>
      </c>
      <c r="I107" s="33">
        <v>742.1</v>
      </c>
      <c r="J107" s="7">
        <f>'5c. Customer Count-Connections'!C108</f>
        <v>3290</v>
      </c>
      <c r="K107" s="7">
        <f>'5c. Customer Count-Connections'!D108</f>
        <v>470</v>
      </c>
      <c r="L107" s="7">
        <f>'5c. Customer Count-Connections'!E108</f>
        <v>35</v>
      </c>
      <c r="M107" s="7">
        <f>'5c. Customer Count-Connections'!F108</f>
        <v>5</v>
      </c>
      <c r="N107" s="7">
        <f>'5c. Customer Count-Connections'!G108</f>
        <v>2</v>
      </c>
      <c r="O107" s="7">
        <f>'5c. Customer Count-Connections'!H108</f>
        <v>23</v>
      </c>
      <c r="P107" s="7">
        <f>'5c. Customer Count-Connections'!I108</f>
        <v>908</v>
      </c>
      <c r="Q107" s="7">
        <f t="shared" si="1"/>
        <v>4733</v>
      </c>
      <c r="R107" s="39">
        <v>4538667.4560000002</v>
      </c>
      <c r="S107" s="2">
        <v>106</v>
      </c>
      <c r="T107" s="39">
        <v>423325.5623932865</v>
      </c>
      <c r="V107" s="21">
        <v>106</v>
      </c>
    </row>
    <row r="108" spans="1:22">
      <c r="A108" s="2">
        <v>2018</v>
      </c>
      <c r="B108" s="2" t="s">
        <v>12</v>
      </c>
      <c r="C108" s="9">
        <v>568.90000000000009</v>
      </c>
      <c r="D108" s="9">
        <v>0</v>
      </c>
      <c r="E108" s="11">
        <v>30</v>
      </c>
      <c r="F108" s="11">
        <f>22*16</f>
        <v>352</v>
      </c>
      <c r="G108" s="2">
        <v>1</v>
      </c>
      <c r="H108" s="128">
        <v>137.4</v>
      </c>
      <c r="I108" s="33">
        <v>745.7</v>
      </c>
      <c r="J108" s="7">
        <f>'5c. Customer Count-Connections'!C109</f>
        <v>3288</v>
      </c>
      <c r="K108" s="7">
        <f>'5c. Customer Count-Connections'!D109</f>
        <v>471</v>
      </c>
      <c r="L108" s="7">
        <f>'5c. Customer Count-Connections'!E109</f>
        <v>35</v>
      </c>
      <c r="M108" s="7">
        <f>'5c. Customer Count-Connections'!F109</f>
        <v>5</v>
      </c>
      <c r="N108" s="7">
        <f>'5c. Customer Count-Connections'!G109</f>
        <v>2</v>
      </c>
      <c r="O108" s="7">
        <f>'5c. Customer Count-Connections'!H109</f>
        <v>23</v>
      </c>
      <c r="P108" s="7">
        <f>'5c. Customer Count-Connections'!I109</f>
        <v>908</v>
      </c>
      <c r="Q108" s="7">
        <f t="shared" si="1"/>
        <v>4732</v>
      </c>
      <c r="R108" s="39">
        <v>4247842.6252800003</v>
      </c>
      <c r="S108" s="2">
        <v>107</v>
      </c>
      <c r="T108" s="39">
        <v>428027.02893655322</v>
      </c>
      <c r="V108" s="21">
        <v>107</v>
      </c>
    </row>
    <row r="109" spans="1:22">
      <c r="A109" s="2">
        <v>2018</v>
      </c>
      <c r="B109" s="2" t="s">
        <v>13</v>
      </c>
      <c r="C109" s="9">
        <v>623.70000000000005</v>
      </c>
      <c r="D109" s="9">
        <v>0</v>
      </c>
      <c r="E109" s="11">
        <v>31</v>
      </c>
      <c r="F109" s="11">
        <f>19*16</f>
        <v>304</v>
      </c>
      <c r="G109" s="2">
        <v>0</v>
      </c>
      <c r="H109" s="128">
        <v>137.5</v>
      </c>
      <c r="I109" s="33">
        <v>751</v>
      </c>
      <c r="J109" s="7">
        <f>'5c. Customer Count-Connections'!C110</f>
        <v>3294</v>
      </c>
      <c r="K109" s="7">
        <f>'5c. Customer Count-Connections'!D110</f>
        <v>471</v>
      </c>
      <c r="L109" s="7">
        <f>'5c. Customer Count-Connections'!E110</f>
        <v>35</v>
      </c>
      <c r="M109" s="7">
        <f>'5c. Customer Count-Connections'!F110</f>
        <v>5</v>
      </c>
      <c r="N109" s="7">
        <f>'5c. Customer Count-Connections'!G110</f>
        <v>4</v>
      </c>
      <c r="O109" s="7">
        <f>'5c. Customer Count-Connections'!H110</f>
        <v>23</v>
      </c>
      <c r="P109" s="7">
        <f>'5c. Customer Count-Connections'!I110</f>
        <v>908</v>
      </c>
      <c r="Q109" s="7">
        <f t="shared" si="1"/>
        <v>4740</v>
      </c>
      <c r="R109" s="39">
        <v>3518108.4499200005</v>
      </c>
      <c r="S109" s="2">
        <v>108</v>
      </c>
      <c r="T109" s="39">
        <v>432728.49547982001</v>
      </c>
      <c r="V109" s="21">
        <v>108</v>
      </c>
    </row>
    <row r="110" spans="1:22">
      <c r="A110" s="2">
        <v>2019</v>
      </c>
      <c r="B110" s="2" t="s">
        <v>2</v>
      </c>
      <c r="C110" s="15">
        <v>848.80000000000007</v>
      </c>
      <c r="D110" s="15">
        <v>0</v>
      </c>
      <c r="E110" s="11">
        <v>31</v>
      </c>
      <c r="F110" s="11">
        <f>22*16</f>
        <v>352</v>
      </c>
      <c r="G110" s="2">
        <v>0</v>
      </c>
      <c r="H110" s="128">
        <v>137.69999999999999</v>
      </c>
      <c r="I110" s="33">
        <v>748.7</v>
      </c>
      <c r="J110" s="7">
        <f>'5c. Customer Count-Connections'!C111</f>
        <v>3293</v>
      </c>
      <c r="K110" s="7">
        <f>'5c. Customer Count-Connections'!D111</f>
        <v>463</v>
      </c>
      <c r="L110" s="7">
        <f>'5c. Customer Count-Connections'!E111</f>
        <v>35</v>
      </c>
      <c r="M110" s="7">
        <f>'5c. Customer Count-Connections'!F111</f>
        <v>5</v>
      </c>
      <c r="N110" s="7">
        <f>'5c. Customer Count-Connections'!G111</f>
        <v>4</v>
      </c>
      <c r="O110" s="7">
        <f>'5c. Customer Count-Connections'!H111</f>
        <v>23</v>
      </c>
      <c r="P110" s="7">
        <f>'5c. Customer Count-Connections'!I111</f>
        <v>908</v>
      </c>
      <c r="Q110" s="7">
        <f t="shared" si="1"/>
        <v>4731</v>
      </c>
      <c r="R110" s="39">
        <v>4403212.0070400005</v>
      </c>
      <c r="S110" s="2">
        <v>109</v>
      </c>
      <c r="T110" s="39">
        <v>437188.43785016931</v>
      </c>
      <c r="V110" s="21">
        <v>109</v>
      </c>
    </row>
    <row r="111" spans="1:22">
      <c r="A111" s="2">
        <v>2019</v>
      </c>
      <c r="B111" s="2" t="s">
        <v>3</v>
      </c>
      <c r="C111" s="15">
        <v>690</v>
      </c>
      <c r="D111" s="15">
        <v>0</v>
      </c>
      <c r="E111" s="11">
        <v>28</v>
      </c>
      <c r="F111" s="11">
        <f>19*16</f>
        <v>304</v>
      </c>
      <c r="G111" s="2">
        <v>0</v>
      </c>
      <c r="H111" s="128">
        <v>138.6</v>
      </c>
      <c r="I111" s="33">
        <v>741.3</v>
      </c>
      <c r="J111" s="7">
        <f>'5c. Customer Count-Connections'!C112</f>
        <v>3292</v>
      </c>
      <c r="K111" s="7">
        <f>'5c. Customer Count-Connections'!D112</f>
        <v>462</v>
      </c>
      <c r="L111" s="7">
        <f>'5c. Customer Count-Connections'!E112</f>
        <v>35</v>
      </c>
      <c r="M111" s="7">
        <f>'5c. Customer Count-Connections'!F112</f>
        <v>5</v>
      </c>
      <c r="N111" s="7">
        <f>'5c. Customer Count-Connections'!G112</f>
        <v>2</v>
      </c>
      <c r="O111" s="7">
        <f>'5c. Customer Count-Connections'!H112</f>
        <v>23</v>
      </c>
      <c r="P111" s="7">
        <f>'5c. Customer Count-Connections'!I112</f>
        <v>908</v>
      </c>
      <c r="Q111" s="7">
        <f t="shared" si="1"/>
        <v>4727</v>
      </c>
      <c r="R111" s="39">
        <v>3946641.8342400002</v>
      </c>
      <c r="S111" s="2">
        <v>110</v>
      </c>
      <c r="T111" s="39">
        <v>441648.38022051868</v>
      </c>
      <c r="V111" s="21">
        <v>110</v>
      </c>
    </row>
    <row r="112" spans="1:22">
      <c r="A112" s="2">
        <v>2019</v>
      </c>
      <c r="B112" s="2" t="s">
        <v>4</v>
      </c>
      <c r="C112" s="15">
        <v>674.125</v>
      </c>
      <c r="D112" s="15">
        <v>0</v>
      </c>
      <c r="E112" s="11">
        <v>31</v>
      </c>
      <c r="F112" s="11">
        <f>21*16</f>
        <v>336</v>
      </c>
      <c r="G112" s="2">
        <v>1</v>
      </c>
      <c r="H112" s="128">
        <v>139.5</v>
      </c>
      <c r="I112" s="33">
        <v>733.8</v>
      </c>
      <c r="J112" s="7">
        <f>'5c. Customer Count-Connections'!C113</f>
        <v>3296</v>
      </c>
      <c r="K112" s="7">
        <f>'5c. Customer Count-Connections'!D113</f>
        <v>462</v>
      </c>
      <c r="L112" s="7">
        <f>'5c. Customer Count-Connections'!E113</f>
        <v>35</v>
      </c>
      <c r="M112" s="7">
        <f>'5c. Customer Count-Connections'!F113</f>
        <v>5</v>
      </c>
      <c r="N112" s="7">
        <f>'5c. Customer Count-Connections'!G113</f>
        <v>2</v>
      </c>
      <c r="O112" s="7">
        <f>'5c. Customer Count-Connections'!H113</f>
        <v>23</v>
      </c>
      <c r="P112" s="7">
        <f>'5c. Customer Count-Connections'!I113</f>
        <v>908</v>
      </c>
      <c r="Q112" s="7">
        <f t="shared" si="1"/>
        <v>4731</v>
      </c>
      <c r="R112" s="39">
        <v>4369392.9532800009</v>
      </c>
      <c r="S112" s="2">
        <v>111</v>
      </c>
      <c r="T112" s="39">
        <v>446108.32259086805</v>
      </c>
      <c r="V112" s="21">
        <v>111</v>
      </c>
    </row>
    <row r="113" spans="1:22">
      <c r="A113" s="2">
        <v>2019</v>
      </c>
      <c r="B113" s="2" t="s">
        <v>5</v>
      </c>
      <c r="C113" s="15">
        <v>412.49999999999994</v>
      </c>
      <c r="D113" s="15">
        <v>0</v>
      </c>
      <c r="E113" s="11">
        <v>30</v>
      </c>
      <c r="F113" s="11">
        <f>21*16</f>
        <v>336</v>
      </c>
      <c r="G113" s="2">
        <v>1</v>
      </c>
      <c r="H113" s="128">
        <v>139.80000000000001</v>
      </c>
      <c r="I113" s="33">
        <v>734</v>
      </c>
      <c r="J113" s="7">
        <f>'5c. Customer Count-Connections'!C114</f>
        <v>3301</v>
      </c>
      <c r="K113" s="7">
        <f>'5c. Customer Count-Connections'!D114</f>
        <v>469</v>
      </c>
      <c r="L113" s="7">
        <f>'5c. Customer Count-Connections'!E114</f>
        <v>35</v>
      </c>
      <c r="M113" s="7">
        <f>'5c. Customer Count-Connections'!F114</f>
        <v>5</v>
      </c>
      <c r="N113" s="7">
        <f>'5c. Customer Count-Connections'!G114</f>
        <v>2</v>
      </c>
      <c r="O113" s="7">
        <f>'5c. Customer Count-Connections'!H114</f>
        <v>23</v>
      </c>
      <c r="P113" s="7">
        <f>'5c. Customer Count-Connections'!I114</f>
        <v>908</v>
      </c>
      <c r="Q113" s="7">
        <f t="shared" si="1"/>
        <v>4743</v>
      </c>
      <c r="R113" s="39">
        <v>4248725.9011200005</v>
      </c>
      <c r="S113" s="2">
        <v>112</v>
      </c>
      <c r="T113" s="39">
        <v>450568.26496121736</v>
      </c>
      <c r="V113" s="21">
        <v>112</v>
      </c>
    </row>
    <row r="114" spans="1:22">
      <c r="A114" s="2">
        <v>2019</v>
      </c>
      <c r="B114" s="2" t="s">
        <v>6</v>
      </c>
      <c r="C114" s="15">
        <v>227.05000000000004</v>
      </c>
      <c r="D114" s="15">
        <v>1</v>
      </c>
      <c r="E114" s="11">
        <v>31</v>
      </c>
      <c r="F114" s="11">
        <f>22*16</f>
        <v>352</v>
      </c>
      <c r="G114" s="2">
        <v>1</v>
      </c>
      <c r="H114" s="128">
        <v>140.30000000000001</v>
      </c>
      <c r="I114" s="33">
        <v>747.1</v>
      </c>
      <c r="J114" s="7">
        <f>'5c. Customer Count-Connections'!C115</f>
        <v>3300</v>
      </c>
      <c r="K114" s="7">
        <f>'5c. Customer Count-Connections'!D115</f>
        <v>471</v>
      </c>
      <c r="L114" s="7">
        <f>'5c. Customer Count-Connections'!E115</f>
        <v>35</v>
      </c>
      <c r="M114" s="7">
        <f>'5c. Customer Count-Connections'!F115</f>
        <v>5</v>
      </c>
      <c r="N114" s="7">
        <f>'5c. Customer Count-Connections'!G115</f>
        <v>2</v>
      </c>
      <c r="O114" s="7">
        <f>'5c. Customer Count-Connections'!H115</f>
        <v>23</v>
      </c>
      <c r="P114" s="7">
        <f>'5c. Customer Count-Connections'!I115</f>
        <v>908</v>
      </c>
      <c r="Q114" s="7">
        <f t="shared" si="1"/>
        <v>4744</v>
      </c>
      <c r="R114" s="39">
        <v>4400982.5587200001</v>
      </c>
      <c r="S114" s="2">
        <v>113</v>
      </c>
      <c r="T114" s="39">
        <v>455028.20733156672</v>
      </c>
      <c r="V114" s="21">
        <v>113</v>
      </c>
    </row>
    <row r="115" spans="1:22">
      <c r="A115" s="2">
        <v>2019</v>
      </c>
      <c r="B115" s="2" t="s">
        <v>7</v>
      </c>
      <c r="C115" s="15">
        <v>70.2</v>
      </c>
      <c r="D115" s="15">
        <v>16.399999999999999</v>
      </c>
      <c r="E115" s="11">
        <v>30</v>
      </c>
      <c r="F115" s="11">
        <f>20*16</f>
        <v>320</v>
      </c>
      <c r="G115" s="2">
        <v>0</v>
      </c>
      <c r="H115" s="128">
        <v>140.30000000000001</v>
      </c>
      <c r="I115" s="33">
        <v>762.3</v>
      </c>
      <c r="J115" s="7">
        <f>'5c. Customer Count-Connections'!C116</f>
        <v>3300</v>
      </c>
      <c r="K115" s="7">
        <f>'5c. Customer Count-Connections'!D116</f>
        <v>470</v>
      </c>
      <c r="L115" s="7">
        <f>'5c. Customer Count-Connections'!E116</f>
        <v>35</v>
      </c>
      <c r="M115" s="7">
        <f>'5c. Customer Count-Connections'!F116</f>
        <v>5</v>
      </c>
      <c r="N115" s="7">
        <f>'5c. Customer Count-Connections'!G116</f>
        <v>2</v>
      </c>
      <c r="O115" s="7">
        <f>'5c. Customer Count-Connections'!H116</f>
        <v>23</v>
      </c>
      <c r="P115" s="7">
        <f>'5c. Customer Count-Connections'!I116</f>
        <v>908</v>
      </c>
      <c r="Q115" s="7">
        <f t="shared" si="1"/>
        <v>4743</v>
      </c>
      <c r="R115" s="39">
        <v>4127497.0646400009</v>
      </c>
      <c r="S115" s="2">
        <v>114</v>
      </c>
      <c r="T115" s="39">
        <v>459488.14970191603</v>
      </c>
      <c r="V115" s="21">
        <v>114</v>
      </c>
    </row>
    <row r="116" spans="1:22">
      <c r="A116" s="2">
        <v>2019</v>
      </c>
      <c r="B116" s="2" t="s">
        <v>8</v>
      </c>
      <c r="C116" s="15">
        <v>6.6000000000000005</v>
      </c>
      <c r="D116" s="15">
        <v>92.500000000000014</v>
      </c>
      <c r="E116" s="11">
        <v>31</v>
      </c>
      <c r="F116" s="11">
        <f>22*16</f>
        <v>352</v>
      </c>
      <c r="G116" s="2">
        <v>0</v>
      </c>
      <c r="H116" s="128">
        <v>141.19999999999999</v>
      </c>
      <c r="I116" s="33">
        <v>764.2</v>
      </c>
      <c r="J116" s="7">
        <f>'5c. Customer Count-Connections'!C117</f>
        <v>3305</v>
      </c>
      <c r="K116" s="7">
        <f>'5c. Customer Count-Connections'!D117</f>
        <v>471</v>
      </c>
      <c r="L116" s="7">
        <f>'5c. Customer Count-Connections'!E117</f>
        <v>35</v>
      </c>
      <c r="M116" s="7">
        <f>'5c. Customer Count-Connections'!F117</f>
        <v>5</v>
      </c>
      <c r="N116" s="7">
        <f>'5c. Customer Count-Connections'!G117</f>
        <v>2</v>
      </c>
      <c r="O116" s="7">
        <f>'5c. Customer Count-Connections'!H117</f>
        <v>23</v>
      </c>
      <c r="P116" s="7">
        <f>'5c. Customer Count-Connections'!I117</f>
        <v>908</v>
      </c>
      <c r="Q116" s="7">
        <f t="shared" si="1"/>
        <v>4749</v>
      </c>
      <c r="R116" s="39">
        <v>4161543.8371200003</v>
      </c>
      <c r="S116" s="2">
        <v>115</v>
      </c>
      <c r="T116" s="39">
        <v>463948.0920722654</v>
      </c>
      <c r="V116" s="21">
        <v>115</v>
      </c>
    </row>
    <row r="117" spans="1:22">
      <c r="A117" s="2">
        <v>2019</v>
      </c>
      <c r="B117" s="2" t="s">
        <v>9</v>
      </c>
      <c r="C117" s="15">
        <v>25.1</v>
      </c>
      <c r="D117" s="15">
        <v>33.300000000000004</v>
      </c>
      <c r="E117" s="11">
        <v>31</v>
      </c>
      <c r="F117" s="11">
        <f>21*16</f>
        <v>336</v>
      </c>
      <c r="G117" s="2">
        <v>0</v>
      </c>
      <c r="H117" s="128">
        <v>140.9</v>
      </c>
      <c r="I117" s="33">
        <v>760.2</v>
      </c>
      <c r="J117" s="7">
        <f>'5c. Customer Count-Connections'!C118</f>
        <v>3303</v>
      </c>
      <c r="K117" s="7">
        <f>'5c. Customer Count-Connections'!D118</f>
        <v>474</v>
      </c>
      <c r="L117" s="7">
        <f>'5c. Customer Count-Connections'!E118</f>
        <v>35</v>
      </c>
      <c r="M117" s="7">
        <f>'5c. Customer Count-Connections'!F118</f>
        <v>5</v>
      </c>
      <c r="N117" s="7">
        <f>'5c. Customer Count-Connections'!G118</f>
        <v>2</v>
      </c>
      <c r="O117" s="7">
        <f>'5c. Customer Count-Connections'!H118</f>
        <v>23</v>
      </c>
      <c r="P117" s="7">
        <f>'5c. Customer Count-Connections'!I118</f>
        <v>908</v>
      </c>
      <c r="Q117" s="7">
        <f t="shared" si="1"/>
        <v>4750</v>
      </c>
      <c r="R117" s="39">
        <v>4590395.5161600001</v>
      </c>
      <c r="S117" s="2">
        <v>116</v>
      </c>
      <c r="T117" s="39">
        <v>468408.03444261471</v>
      </c>
      <c r="V117" s="21">
        <v>116</v>
      </c>
    </row>
    <row r="118" spans="1:22">
      <c r="A118" s="2">
        <v>2019</v>
      </c>
      <c r="B118" s="2" t="s">
        <v>10</v>
      </c>
      <c r="C118" s="15">
        <v>90.899999999999991</v>
      </c>
      <c r="D118" s="15">
        <v>13.200000000000001</v>
      </c>
      <c r="E118" s="11">
        <v>30</v>
      </c>
      <c r="F118" s="11">
        <f>20*16</f>
        <v>320</v>
      </c>
      <c r="G118" s="2">
        <v>1</v>
      </c>
      <c r="H118" s="128">
        <v>139.69999999999999</v>
      </c>
      <c r="I118" s="33">
        <v>756.5</v>
      </c>
      <c r="J118" s="7">
        <f>'5c. Customer Count-Connections'!C119</f>
        <v>3306</v>
      </c>
      <c r="K118" s="7">
        <f>'5c. Customer Count-Connections'!D119</f>
        <v>473</v>
      </c>
      <c r="L118" s="7">
        <f>'5c. Customer Count-Connections'!E119</f>
        <v>35</v>
      </c>
      <c r="M118" s="7">
        <f>'5c. Customer Count-Connections'!F119</f>
        <v>5</v>
      </c>
      <c r="N118" s="7">
        <f>'5c. Customer Count-Connections'!G119</f>
        <v>2</v>
      </c>
      <c r="O118" s="7">
        <f>'5c. Customer Count-Connections'!H119</f>
        <v>23</v>
      </c>
      <c r="P118" s="7">
        <f>'5c. Customer Count-Connections'!I119</f>
        <v>908</v>
      </c>
      <c r="Q118" s="7">
        <f t="shared" si="1"/>
        <v>4752</v>
      </c>
      <c r="R118" s="39">
        <v>4357474.9632000001</v>
      </c>
      <c r="S118" s="2">
        <v>117</v>
      </c>
      <c r="T118" s="39">
        <v>472867.97681296407</v>
      </c>
      <c r="V118" s="21">
        <v>117</v>
      </c>
    </row>
    <row r="119" spans="1:22">
      <c r="A119" s="2">
        <v>2019</v>
      </c>
      <c r="B119" s="2" t="s">
        <v>11</v>
      </c>
      <c r="C119" s="15">
        <v>293.8</v>
      </c>
      <c r="D119" s="15">
        <v>2.1</v>
      </c>
      <c r="E119" s="11">
        <v>31</v>
      </c>
      <c r="F119" s="11">
        <f>22*16</f>
        <v>352</v>
      </c>
      <c r="G119" s="2">
        <v>1</v>
      </c>
      <c r="H119" s="128">
        <v>140.30000000000001</v>
      </c>
      <c r="I119" s="33">
        <v>760.7</v>
      </c>
      <c r="J119" s="7">
        <f>'5c. Customer Count-Connections'!C120</f>
        <v>3301</v>
      </c>
      <c r="K119" s="7">
        <f>'5c. Customer Count-Connections'!D120</f>
        <v>473</v>
      </c>
      <c r="L119" s="7">
        <f>'5c. Customer Count-Connections'!E120</f>
        <v>35</v>
      </c>
      <c r="M119" s="7">
        <f>'5c. Customer Count-Connections'!F120</f>
        <v>5</v>
      </c>
      <c r="N119" s="7">
        <f>'5c. Customer Count-Connections'!G120</f>
        <v>2</v>
      </c>
      <c r="O119" s="7">
        <f>'5c. Customer Count-Connections'!H120</f>
        <v>23</v>
      </c>
      <c r="P119" s="7">
        <f>'5c. Customer Count-Connections'!I120</f>
        <v>908</v>
      </c>
      <c r="Q119" s="7">
        <f t="shared" si="1"/>
        <v>4747</v>
      </c>
      <c r="R119" s="39">
        <v>4416877.5811200002</v>
      </c>
      <c r="S119" s="2">
        <v>118</v>
      </c>
      <c r="T119" s="39">
        <v>477327.91918331338</v>
      </c>
      <c r="V119" s="21">
        <v>118</v>
      </c>
    </row>
    <row r="120" spans="1:22">
      <c r="A120" s="2">
        <v>2019</v>
      </c>
      <c r="B120" s="2" t="s">
        <v>12</v>
      </c>
      <c r="C120" s="15">
        <v>576.79999999999984</v>
      </c>
      <c r="D120" s="15">
        <v>0</v>
      </c>
      <c r="E120" s="11">
        <v>30</v>
      </c>
      <c r="F120" s="11">
        <f>21*16</f>
        <v>336</v>
      </c>
      <c r="G120" s="2">
        <v>1</v>
      </c>
      <c r="H120" s="157">
        <v>139.9</v>
      </c>
      <c r="I120" s="33">
        <v>758.4</v>
      </c>
      <c r="J120" s="7">
        <f>'5c. Customer Count-Connections'!C121</f>
        <v>3312</v>
      </c>
      <c r="K120" s="7">
        <f>'5c. Customer Count-Connections'!D121</f>
        <v>476</v>
      </c>
      <c r="L120" s="7">
        <f>'5c. Customer Count-Connections'!E121</f>
        <v>35</v>
      </c>
      <c r="M120" s="7">
        <f>'5c. Customer Count-Connections'!F121</f>
        <v>5</v>
      </c>
      <c r="N120" s="7">
        <f>'5c. Customer Count-Connections'!G121</f>
        <v>2</v>
      </c>
      <c r="O120" s="7">
        <f>'5c. Customer Count-Connections'!H121</f>
        <v>23</v>
      </c>
      <c r="P120" s="7">
        <f>'5c. Customer Count-Connections'!I121</f>
        <v>908</v>
      </c>
      <c r="Q120" s="7">
        <f t="shared" si="1"/>
        <v>4761</v>
      </c>
      <c r="R120" s="148">
        <v>4037559.1459200005</v>
      </c>
      <c r="S120" s="2">
        <v>119</v>
      </c>
      <c r="T120" s="39">
        <v>481787.86155366275</v>
      </c>
      <c r="V120" s="21">
        <v>119</v>
      </c>
    </row>
    <row r="121" spans="1:22">
      <c r="A121" s="2">
        <v>2019</v>
      </c>
      <c r="B121" s="2" t="s">
        <v>13</v>
      </c>
      <c r="C121" s="149">
        <v>647.29999999999995</v>
      </c>
      <c r="D121" s="149">
        <v>0</v>
      </c>
      <c r="E121" s="11">
        <v>31</v>
      </c>
      <c r="F121" s="11">
        <f>20*16</f>
        <v>320</v>
      </c>
      <c r="G121" s="2">
        <v>0</v>
      </c>
      <c r="H121" s="157">
        <v>140.1</v>
      </c>
      <c r="I121" s="158">
        <v>756.5</v>
      </c>
      <c r="J121" s="7">
        <f>'5c. Customer Count-Connections'!C122</f>
        <v>3314</v>
      </c>
      <c r="K121" s="7">
        <f>'5c. Customer Count-Connections'!D122</f>
        <v>476</v>
      </c>
      <c r="L121" s="7">
        <f>'5c. Customer Count-Connections'!E122</f>
        <v>35</v>
      </c>
      <c r="M121" s="7">
        <f>'5c. Customer Count-Connections'!F122</f>
        <v>5</v>
      </c>
      <c r="N121" s="7">
        <f>'5c. Customer Count-Connections'!G122</f>
        <v>4</v>
      </c>
      <c r="O121" s="7">
        <f>'5c. Customer Count-Connections'!H122</f>
        <v>23</v>
      </c>
      <c r="P121" s="7">
        <f>'5c. Customer Count-Connections'!I122</f>
        <v>907</v>
      </c>
      <c r="Q121" s="7">
        <f t="shared" si="1"/>
        <v>4764</v>
      </c>
      <c r="R121" s="148">
        <v>3487388.6937600006</v>
      </c>
      <c r="S121" s="2">
        <v>120</v>
      </c>
      <c r="T121" s="39">
        <v>486247.80392401206</v>
      </c>
      <c r="V121" s="21">
        <v>120</v>
      </c>
    </row>
    <row r="122" spans="1:22" s="29" customFormat="1">
      <c r="A122" s="25">
        <v>2020</v>
      </c>
      <c r="B122" s="25" t="s">
        <v>2</v>
      </c>
      <c r="C122" s="26">
        <f t="shared" ref="C122:D145" si="2">AVERAGE(C2,C14,C26,C38,C50,C62,C74,C86,C98,C110)</f>
        <v>789.65166666666664</v>
      </c>
      <c r="D122" s="26">
        <f t="shared" si="2"/>
        <v>0</v>
      </c>
      <c r="E122" s="27">
        <v>31</v>
      </c>
      <c r="F122" s="27">
        <f>22*16</f>
        <v>352</v>
      </c>
      <c r="G122" s="25">
        <v>0</v>
      </c>
      <c r="H122" s="31">
        <f t="shared" ref="H122:M122" si="3">TREND(H2:H121,$V$2:$V$121,$V$122:$V$145)</f>
        <v>140.43969187675069</v>
      </c>
      <c r="I122" s="34">
        <f t="shared" si="3"/>
        <v>749.30128291316532</v>
      </c>
      <c r="J122" s="28">
        <f t="shared" si="3"/>
        <v>3315.8274509803923</v>
      </c>
      <c r="K122" s="28">
        <f t="shared" si="3"/>
        <v>468.72521008403368</v>
      </c>
      <c r="L122" s="28">
        <f t="shared" si="3"/>
        <v>33.738235294117651</v>
      </c>
      <c r="M122" s="28">
        <f t="shared" si="3"/>
        <v>5.0658263305322127</v>
      </c>
      <c r="N122" s="28">
        <f>N121</f>
        <v>4</v>
      </c>
      <c r="O122" s="28">
        <f>O121</f>
        <v>23</v>
      </c>
      <c r="P122" s="28">
        <f>P121</f>
        <v>907</v>
      </c>
      <c r="Q122" s="28">
        <f t="shared" si="1"/>
        <v>4757.3567226890755</v>
      </c>
      <c r="R122" s="28">
        <f t="shared" ref="R122" si="4">AVERAGE(R2,R14,R26,R38,R50,R62,R74,R86,R98,R110)</f>
        <v>4331189.5934509002</v>
      </c>
      <c r="S122" s="28">
        <v>121</v>
      </c>
      <c r="T122" s="28">
        <v>484256.91953879548</v>
      </c>
      <c r="V122" s="30">
        <v>121</v>
      </c>
    </row>
    <row r="123" spans="1:22">
      <c r="A123" s="22">
        <v>2020</v>
      </c>
      <c r="B123" s="22" t="s">
        <v>3</v>
      </c>
      <c r="C123" s="23">
        <f t="shared" si="2"/>
        <v>698.95166666666671</v>
      </c>
      <c r="D123" s="23">
        <f t="shared" si="2"/>
        <v>0</v>
      </c>
      <c r="E123" s="24">
        <v>29</v>
      </c>
      <c r="F123" s="24">
        <f>19*16</f>
        <v>304</v>
      </c>
      <c r="G123" s="22">
        <v>0</v>
      </c>
      <c r="H123" s="32">
        <f t="shared" ref="H123:H145" si="5">TREND(H3:H122,$V$2:$V$121,$V$122:$V$145)</f>
        <v>140.6344323062558</v>
      </c>
      <c r="I123" s="35">
        <f t="shared" ref="I123:I145" si="6">TREND(I3:I122,$V$2:$V$121,$V$122:$V$145)</f>
        <v>749.79574444444438</v>
      </c>
      <c r="J123" s="18">
        <f t="shared" ref="J123:L145" si="7">TREND(J3:J122,$V$2:$V$121,$V$122:$V$145)</f>
        <v>3317.7116153127918</v>
      </c>
      <c r="K123" s="18">
        <f t="shared" si="7"/>
        <v>468.67655462184877</v>
      </c>
      <c r="L123" s="18">
        <f t="shared" si="7"/>
        <v>33.727549019607842</v>
      </c>
      <c r="M123" s="18">
        <f t="shared" ref="M123:M137" si="8">TREND(M3:M122,$V$2:$V$121,$V$122:$V$145)</f>
        <v>5.0596171802054153</v>
      </c>
      <c r="N123" s="18">
        <f t="shared" ref="N123:N145" si="9">N122</f>
        <v>4</v>
      </c>
      <c r="O123" s="18">
        <f t="shared" ref="O123:O145" si="10">O122</f>
        <v>23</v>
      </c>
      <c r="P123" s="18">
        <f t="shared" ref="P123:P145" si="11">P122</f>
        <v>907</v>
      </c>
      <c r="Q123" s="18">
        <f t="shared" si="1"/>
        <v>4759.1753361344545</v>
      </c>
      <c r="R123" s="18">
        <f t="shared" ref="R123" si="12">AVERAGE(R3,R15,R27,R39,R51,R63,R75,R87,R99,R111)</f>
        <v>4067029.3856538995</v>
      </c>
      <c r="S123" s="18">
        <v>122</v>
      </c>
      <c r="T123" s="18">
        <v>482266.03515357891</v>
      </c>
      <c r="V123" s="21">
        <v>122</v>
      </c>
    </row>
    <row r="124" spans="1:22">
      <c r="A124" s="22">
        <v>2020</v>
      </c>
      <c r="B124" s="22" t="s">
        <v>4</v>
      </c>
      <c r="C124" s="23">
        <f t="shared" si="2"/>
        <v>614.92805555555549</v>
      </c>
      <c r="D124" s="23">
        <f t="shared" si="2"/>
        <v>0.34</v>
      </c>
      <c r="E124" s="24">
        <v>31</v>
      </c>
      <c r="F124" s="24">
        <f>22*16</f>
        <v>352</v>
      </c>
      <c r="G124" s="22">
        <v>1</v>
      </c>
      <c r="H124" s="32">
        <f t="shared" si="5"/>
        <v>140.83501715405112</v>
      </c>
      <c r="I124" s="35">
        <f t="shared" si="6"/>
        <v>750.20510485467389</v>
      </c>
      <c r="J124" s="18">
        <f t="shared" si="7"/>
        <v>3319.6015147653829</v>
      </c>
      <c r="K124" s="18">
        <f t="shared" si="7"/>
        <v>468.6143479509451</v>
      </c>
      <c r="L124" s="18">
        <f t="shared" si="7"/>
        <v>33.71997786565607</v>
      </c>
      <c r="M124" s="18">
        <f t="shared" si="8"/>
        <v>5.053173400078987</v>
      </c>
      <c r="N124" s="18">
        <f t="shared" si="9"/>
        <v>4</v>
      </c>
      <c r="O124" s="18">
        <f t="shared" si="10"/>
        <v>23</v>
      </c>
      <c r="P124" s="18">
        <f t="shared" si="11"/>
        <v>907</v>
      </c>
      <c r="Q124" s="18">
        <f t="shared" si="1"/>
        <v>4760.9890139820627</v>
      </c>
      <c r="R124" s="18">
        <f t="shared" ref="R124" si="13">AVERAGE(R4,R16,R28,R40,R52,R64,R76,R88,R100,R112)</f>
        <v>4470447.0035923002</v>
      </c>
      <c r="S124" s="18">
        <v>123</v>
      </c>
      <c r="T124" s="18">
        <v>480275.15076836233</v>
      </c>
      <c r="V124" s="21">
        <v>123</v>
      </c>
    </row>
    <row r="125" spans="1:22">
      <c r="A125" s="22">
        <v>2020</v>
      </c>
      <c r="B125" s="22" t="s">
        <v>5</v>
      </c>
      <c r="C125" s="23">
        <f t="shared" si="2"/>
        <v>394.48666666666668</v>
      </c>
      <c r="D125" s="23">
        <f t="shared" si="2"/>
        <v>0.1</v>
      </c>
      <c r="E125" s="24">
        <v>30</v>
      </c>
      <c r="F125" s="24">
        <f>21*16</f>
        <v>336</v>
      </c>
      <c r="G125" s="22">
        <v>1</v>
      </c>
      <c r="H125" s="32">
        <f t="shared" si="5"/>
        <v>141.03497677731656</v>
      </c>
      <c r="I125" s="35">
        <f t="shared" si="6"/>
        <v>750.52672584533764</v>
      </c>
      <c r="J125" s="18">
        <f t="shared" si="7"/>
        <v>3321.4465488431538</v>
      </c>
      <c r="K125" s="18">
        <f t="shared" si="7"/>
        <v>468.4352176313663</v>
      </c>
      <c r="L125" s="18">
        <f t="shared" si="7"/>
        <v>33.715630159645556</v>
      </c>
      <c r="M125" s="18">
        <f t="shared" si="8"/>
        <v>5.0464897780462961</v>
      </c>
      <c r="N125" s="18">
        <f t="shared" si="9"/>
        <v>4</v>
      </c>
      <c r="O125" s="18">
        <f t="shared" si="10"/>
        <v>23</v>
      </c>
      <c r="P125" s="18">
        <f t="shared" si="11"/>
        <v>907</v>
      </c>
      <c r="Q125" s="18">
        <f t="shared" si="1"/>
        <v>4762.6438864122119</v>
      </c>
      <c r="R125" s="18">
        <f t="shared" ref="R125" si="14">AVERAGE(R5,R17,R29,R41,R53,R65,R77,R89,R101,R113)</f>
        <v>4248550.5911507001</v>
      </c>
      <c r="S125" s="18">
        <v>124</v>
      </c>
      <c r="T125" s="18">
        <v>478284.2663831457</v>
      </c>
      <c r="V125" s="21">
        <v>124</v>
      </c>
    </row>
    <row r="126" spans="1:22">
      <c r="A126" s="22">
        <v>2020</v>
      </c>
      <c r="B126" s="22" t="s">
        <v>6</v>
      </c>
      <c r="C126" s="23">
        <f t="shared" si="2"/>
        <v>168.45166666666665</v>
      </c>
      <c r="D126" s="23">
        <f t="shared" si="2"/>
        <v>16.080000000000002</v>
      </c>
      <c r="E126" s="24">
        <v>31</v>
      </c>
      <c r="F126" s="24">
        <f>20*16</f>
        <v>320</v>
      </c>
      <c r="G126" s="22">
        <v>1</v>
      </c>
      <c r="H126" s="32">
        <f t="shared" si="5"/>
        <v>141.23941613992022</v>
      </c>
      <c r="I126" s="35">
        <f t="shared" si="6"/>
        <v>750.8775667913535</v>
      </c>
      <c r="J126" s="18">
        <f t="shared" si="7"/>
        <v>3323.3469489666127</v>
      </c>
      <c r="K126" s="18">
        <f t="shared" si="7"/>
        <v>468.32030635101546</v>
      </c>
      <c r="L126" s="18">
        <f t="shared" si="7"/>
        <v>33.714616530998136</v>
      </c>
      <c r="M126" s="18">
        <f t="shared" si="8"/>
        <v>5.0395610268477764</v>
      </c>
      <c r="N126" s="18">
        <f t="shared" si="9"/>
        <v>4</v>
      </c>
      <c r="O126" s="18">
        <f t="shared" si="10"/>
        <v>23</v>
      </c>
      <c r="P126" s="18">
        <f t="shared" si="11"/>
        <v>907</v>
      </c>
      <c r="Q126" s="18">
        <f t="shared" si="1"/>
        <v>4764.4214328754742</v>
      </c>
      <c r="R126" s="18">
        <f t="shared" ref="R126" si="15">AVERAGE(R6,R18,R30,R42,R54,R66,R78,R90,R102,R114)</f>
        <v>4499949.726133001</v>
      </c>
      <c r="S126" s="18">
        <v>125</v>
      </c>
      <c r="T126" s="18">
        <v>476293.38199792913</v>
      </c>
      <c r="V126" s="21">
        <v>125</v>
      </c>
    </row>
    <row r="127" spans="1:22">
      <c r="A127" s="22">
        <v>2020</v>
      </c>
      <c r="B127" s="22" t="s">
        <v>7</v>
      </c>
      <c r="C127" s="23">
        <f t="shared" si="2"/>
        <v>57.868333333333339</v>
      </c>
      <c r="D127" s="23">
        <f t="shared" si="2"/>
        <v>28.274999999999999</v>
      </c>
      <c r="E127" s="24">
        <v>30</v>
      </c>
      <c r="F127" s="24">
        <f>22*16</f>
        <v>352</v>
      </c>
      <c r="G127" s="22">
        <v>0</v>
      </c>
      <c r="H127" s="32">
        <f t="shared" si="5"/>
        <v>141.44861063389195</v>
      </c>
      <c r="I127" s="35">
        <f t="shared" si="6"/>
        <v>751.35929288689545</v>
      </c>
      <c r="J127" s="18">
        <f t="shared" si="7"/>
        <v>3325.3575669588186</v>
      </c>
      <c r="K127" s="18">
        <f t="shared" si="7"/>
        <v>468.23933701217476</v>
      </c>
      <c r="L127" s="18">
        <f t="shared" si="7"/>
        <v>33.717049942393167</v>
      </c>
      <c r="M127" s="18">
        <f t="shared" si="8"/>
        <v>5.0323817837557847</v>
      </c>
      <c r="N127" s="18">
        <f t="shared" si="9"/>
        <v>4</v>
      </c>
      <c r="O127" s="18">
        <f t="shared" si="10"/>
        <v>23</v>
      </c>
      <c r="P127" s="18">
        <f t="shared" si="11"/>
        <v>907</v>
      </c>
      <c r="Q127" s="18">
        <f t="shared" si="1"/>
        <v>4766.3463356971424</v>
      </c>
      <c r="R127" s="18">
        <f t="shared" ref="R127" si="16">AVERAGE(R7,R19,R31,R43,R55,R67,R79,R91,R103,R115)</f>
        <v>4407679.0414789002</v>
      </c>
      <c r="S127" s="18">
        <v>126</v>
      </c>
      <c r="T127" s="18">
        <v>474302.49761271256</v>
      </c>
      <c r="V127" s="21">
        <v>126</v>
      </c>
    </row>
    <row r="128" spans="1:22">
      <c r="A128" s="22">
        <v>2020</v>
      </c>
      <c r="B128" s="22" t="s">
        <v>8</v>
      </c>
      <c r="C128" s="23">
        <f t="shared" si="2"/>
        <v>17.11</v>
      </c>
      <c r="D128" s="23">
        <f t="shared" si="2"/>
        <v>72.36</v>
      </c>
      <c r="E128" s="24">
        <v>31</v>
      </c>
      <c r="F128" s="24">
        <f>22*16</f>
        <v>352</v>
      </c>
      <c r="G128" s="22">
        <v>0</v>
      </c>
      <c r="H128" s="32">
        <f t="shared" si="5"/>
        <v>141.6508821644386</v>
      </c>
      <c r="I128" s="35">
        <f t="shared" si="6"/>
        <v>752.07938286344097</v>
      </c>
      <c r="J128" s="18">
        <f t="shared" si="7"/>
        <v>3327.2629309223466</v>
      </c>
      <c r="K128" s="18">
        <f t="shared" si="7"/>
        <v>468.21141646581339</v>
      </c>
      <c r="L128" s="18">
        <f t="shared" si="7"/>
        <v>33.671785216858076</v>
      </c>
      <c r="M128" s="18">
        <f t="shared" si="8"/>
        <v>5.0249466102805389</v>
      </c>
      <c r="N128" s="18">
        <f t="shared" si="9"/>
        <v>4</v>
      </c>
      <c r="O128" s="18">
        <f t="shared" si="10"/>
        <v>23</v>
      </c>
      <c r="P128" s="18">
        <f t="shared" si="11"/>
        <v>907</v>
      </c>
      <c r="Q128" s="18">
        <f t="shared" si="1"/>
        <v>4768.171079215299</v>
      </c>
      <c r="R128" s="18">
        <f t="shared" ref="R128" si="17">AVERAGE(R8,R20,R32,R44,R56,R68,R80,R92,R104,R116)</f>
        <v>4179289.9717442007</v>
      </c>
      <c r="S128" s="18">
        <v>127</v>
      </c>
      <c r="T128" s="18">
        <v>472311.61322749598</v>
      </c>
      <c r="V128" s="21">
        <v>127</v>
      </c>
    </row>
    <row r="129" spans="1:22">
      <c r="A129" s="22">
        <v>2020</v>
      </c>
      <c r="B129" s="22" t="s">
        <v>9</v>
      </c>
      <c r="C129" s="23">
        <f t="shared" si="2"/>
        <v>24.599999999999998</v>
      </c>
      <c r="D129" s="23">
        <f t="shared" si="2"/>
        <v>52.274999999999999</v>
      </c>
      <c r="E129" s="24">
        <v>31</v>
      </c>
      <c r="F129" s="24">
        <f>20*16</f>
        <v>320</v>
      </c>
      <c r="G129" s="22">
        <v>0</v>
      </c>
      <c r="H129" s="32">
        <f t="shared" si="5"/>
        <v>141.86633223733384</v>
      </c>
      <c r="I129" s="35">
        <f t="shared" si="6"/>
        <v>752.99920722874788</v>
      </c>
      <c r="J129" s="18">
        <f t="shared" si="7"/>
        <v>3329.1595279282346</v>
      </c>
      <c r="K129" s="18">
        <f t="shared" si="7"/>
        <v>468.23960752994634</v>
      </c>
      <c r="L129" s="18">
        <f t="shared" si="7"/>
        <v>33.59305772458567</v>
      </c>
      <c r="M129" s="18">
        <f t="shared" si="8"/>
        <v>5.0172499918979572</v>
      </c>
      <c r="N129" s="18">
        <f t="shared" si="9"/>
        <v>4</v>
      </c>
      <c r="O129" s="18">
        <f t="shared" si="10"/>
        <v>23</v>
      </c>
      <c r="P129" s="18">
        <f t="shared" si="11"/>
        <v>907</v>
      </c>
      <c r="Q129" s="18">
        <f t="shared" si="1"/>
        <v>4770.0094431746647</v>
      </c>
      <c r="R129" s="18">
        <f t="shared" ref="R129" si="18">AVERAGE(R9,R21,R33,R45,R57,R69,R81,R93,R105,R117)</f>
        <v>4756005.4147161003</v>
      </c>
      <c r="S129" s="18">
        <v>128</v>
      </c>
      <c r="T129" s="18">
        <v>470320.72884227935</v>
      </c>
      <c r="V129" s="21">
        <v>128</v>
      </c>
    </row>
    <row r="130" spans="1:22">
      <c r="A130" s="22">
        <v>2020</v>
      </c>
      <c r="B130" s="22" t="s">
        <v>10</v>
      </c>
      <c r="C130" s="23">
        <f t="shared" si="2"/>
        <v>102.41333333333333</v>
      </c>
      <c r="D130" s="23">
        <f t="shared" si="2"/>
        <v>25.174999999999997</v>
      </c>
      <c r="E130" s="24">
        <v>30</v>
      </c>
      <c r="F130" s="24">
        <f>21*16</f>
        <v>336</v>
      </c>
      <c r="G130" s="22">
        <v>1</v>
      </c>
      <c r="H130" s="32">
        <f t="shared" si="5"/>
        <v>142.07864848261781</v>
      </c>
      <c r="I130" s="35">
        <f t="shared" si="6"/>
        <v>753.9527122733756</v>
      </c>
      <c r="J130" s="18">
        <f t="shared" si="7"/>
        <v>3330.9958450033982</v>
      </c>
      <c r="K130" s="18">
        <f t="shared" si="7"/>
        <v>468.22453181871043</v>
      </c>
      <c r="L130" s="18">
        <f t="shared" si="7"/>
        <v>33.530191226877477</v>
      </c>
      <c r="M130" s="18">
        <f t="shared" si="8"/>
        <v>5.0092863378002637</v>
      </c>
      <c r="N130" s="18">
        <f t="shared" si="9"/>
        <v>4</v>
      </c>
      <c r="O130" s="18">
        <f t="shared" si="10"/>
        <v>23</v>
      </c>
      <c r="P130" s="18">
        <f t="shared" si="11"/>
        <v>907</v>
      </c>
      <c r="Q130" s="18">
        <f t="shared" si="1"/>
        <v>4771.7598543867862</v>
      </c>
      <c r="R130" s="18">
        <f t="shared" ref="R130" si="19">AVERAGE(R10,R22,R34,R46,R58,R70,R82,R94,R106,R118)</f>
        <v>4468921.3708229009</v>
      </c>
      <c r="S130" s="18">
        <v>129</v>
      </c>
      <c r="T130" s="18">
        <v>468329.84445706278</v>
      </c>
      <c r="V130" s="21">
        <v>129</v>
      </c>
    </row>
    <row r="131" spans="1:22">
      <c r="A131" s="22">
        <v>2020</v>
      </c>
      <c r="B131" s="22" t="s">
        <v>11</v>
      </c>
      <c r="C131" s="23">
        <f t="shared" si="2"/>
        <v>283.29888888888888</v>
      </c>
      <c r="D131" s="23">
        <f t="shared" si="2"/>
        <v>1.32</v>
      </c>
      <c r="E131" s="24">
        <v>31</v>
      </c>
      <c r="F131" s="24">
        <f>21*16</f>
        <v>336</v>
      </c>
      <c r="G131" s="22">
        <v>1</v>
      </c>
      <c r="H131" s="32">
        <f t="shared" si="5"/>
        <v>142.29105328107624</v>
      </c>
      <c r="I131" s="35">
        <f t="shared" si="6"/>
        <v>754.78606837947939</v>
      </c>
      <c r="J131" s="18">
        <f t="shared" si="7"/>
        <v>3332.7173952550474</v>
      </c>
      <c r="K131" s="18">
        <f t="shared" si="7"/>
        <v>468.23182209600901</v>
      </c>
      <c r="L131" s="18">
        <f t="shared" si="7"/>
        <v>33.467080835663928</v>
      </c>
      <c r="M131" s="18">
        <f t="shared" si="8"/>
        <v>5.0010499806702269</v>
      </c>
      <c r="N131" s="18">
        <f t="shared" si="9"/>
        <v>4</v>
      </c>
      <c r="O131" s="18">
        <f t="shared" si="10"/>
        <v>23</v>
      </c>
      <c r="P131" s="18">
        <f t="shared" si="11"/>
        <v>907</v>
      </c>
      <c r="Q131" s="18">
        <f t="shared" ref="Q131:Q145" si="20">SUM(J131:P131)</f>
        <v>4773.4173481673915</v>
      </c>
      <c r="R131" s="18">
        <f t="shared" ref="R131" si="21">AVERAGE(R11,R23,R35,R47,R59,R71,R83,R95,R107,R119)</f>
        <v>4611450.9819984008</v>
      </c>
      <c r="S131" s="18">
        <v>130</v>
      </c>
      <c r="T131" s="18">
        <v>466338.9600718462</v>
      </c>
      <c r="V131" s="21">
        <v>130</v>
      </c>
    </row>
    <row r="132" spans="1:22">
      <c r="A132" s="22">
        <v>2020</v>
      </c>
      <c r="B132" s="22" t="s">
        <v>12</v>
      </c>
      <c r="C132" s="23">
        <f t="shared" si="2"/>
        <v>487.20722222222219</v>
      </c>
      <c r="D132" s="23">
        <f t="shared" si="2"/>
        <v>0</v>
      </c>
      <c r="E132" s="24">
        <v>30</v>
      </c>
      <c r="F132" s="24">
        <f>21*16</f>
        <v>336</v>
      </c>
      <c r="G132" s="22">
        <v>1</v>
      </c>
      <c r="H132" s="32">
        <f t="shared" si="5"/>
        <v>142.50696177653543</v>
      </c>
      <c r="I132" s="35">
        <f t="shared" si="6"/>
        <v>755.47488395567143</v>
      </c>
      <c r="J132" s="18">
        <f t="shared" si="7"/>
        <v>3334.488769235672</v>
      </c>
      <c r="K132" s="18">
        <f t="shared" si="7"/>
        <v>468.16012938878941</v>
      </c>
      <c r="L132" s="18">
        <f t="shared" si="7"/>
        <v>33.40374483565634</v>
      </c>
      <c r="M132" s="18">
        <f t="shared" si="8"/>
        <v>4.9925351764799153</v>
      </c>
      <c r="N132" s="18">
        <f t="shared" si="9"/>
        <v>4</v>
      </c>
      <c r="O132" s="18">
        <f t="shared" si="10"/>
        <v>23</v>
      </c>
      <c r="P132" s="18">
        <f t="shared" si="11"/>
        <v>907</v>
      </c>
      <c r="Q132" s="18">
        <f t="shared" si="20"/>
        <v>4775.0451786365975</v>
      </c>
      <c r="R132" s="18">
        <f t="shared" ref="R132" si="22">AVERAGE(R12,R24,R36,R48,R60,R72,R84,R96,R108,R120)</f>
        <v>4297407.0614971006</v>
      </c>
      <c r="S132" s="18">
        <v>131</v>
      </c>
      <c r="T132" s="18">
        <v>464348.07568662963</v>
      </c>
      <c r="V132" s="21">
        <v>131</v>
      </c>
    </row>
    <row r="133" spans="1:22">
      <c r="A133" s="22">
        <v>2020</v>
      </c>
      <c r="B133" s="22" t="s">
        <v>13</v>
      </c>
      <c r="C133" s="23">
        <f t="shared" si="2"/>
        <v>655.25333333333333</v>
      </c>
      <c r="D133" s="23">
        <f t="shared" si="2"/>
        <v>0</v>
      </c>
      <c r="E133" s="24">
        <v>31</v>
      </c>
      <c r="F133" s="24">
        <f>21*16</f>
        <v>336</v>
      </c>
      <c r="G133" s="22">
        <v>0</v>
      </c>
      <c r="H133" s="32">
        <f t="shared" si="5"/>
        <v>142.72144352998839</v>
      </c>
      <c r="I133" s="35">
        <f t="shared" si="6"/>
        <v>755.54761828564449</v>
      </c>
      <c r="J133" s="18">
        <f t="shared" si="7"/>
        <v>3336.535554255739</v>
      </c>
      <c r="K133" s="18">
        <f t="shared" si="7"/>
        <v>468.03889069689114</v>
      </c>
      <c r="L133" s="18">
        <f t="shared" si="7"/>
        <v>33.340202223532664</v>
      </c>
      <c r="M133" s="18">
        <f t="shared" si="8"/>
        <v>4.9837361043149109</v>
      </c>
      <c r="N133" s="18">
        <f t="shared" si="9"/>
        <v>4</v>
      </c>
      <c r="O133" s="18">
        <f t="shared" si="10"/>
        <v>23</v>
      </c>
      <c r="P133" s="18">
        <f t="shared" si="11"/>
        <v>907</v>
      </c>
      <c r="Q133" s="18">
        <f t="shared" si="20"/>
        <v>4776.8983832804779</v>
      </c>
      <c r="R133" s="18">
        <f t="shared" ref="R133" si="23">AVERAGE(R13,R25,R37,R49,R61,R73,R85,R97,R109,R121)</f>
        <v>3758861.8357894002</v>
      </c>
      <c r="S133" s="18">
        <v>132</v>
      </c>
      <c r="T133" s="18">
        <v>462357.191301413</v>
      </c>
      <c r="V133" s="21">
        <v>132</v>
      </c>
    </row>
    <row r="134" spans="1:22" s="29" customFormat="1">
      <c r="A134" s="25">
        <v>2021</v>
      </c>
      <c r="B134" s="25" t="s">
        <v>2</v>
      </c>
      <c r="C134" s="26">
        <f t="shared" si="2"/>
        <v>789.46683333333328</v>
      </c>
      <c r="D134" s="26">
        <f t="shared" si="2"/>
        <v>0</v>
      </c>
      <c r="E134" s="27">
        <v>31</v>
      </c>
      <c r="F134" s="27">
        <f>20*16</f>
        <v>320</v>
      </c>
      <c r="G134" s="25">
        <v>0</v>
      </c>
      <c r="H134" s="31">
        <f t="shared" si="5"/>
        <v>142.92927623189973</v>
      </c>
      <c r="I134" s="34">
        <f t="shared" si="6"/>
        <v>756.09817980310584</v>
      </c>
      <c r="J134" s="28">
        <f t="shared" si="7"/>
        <v>3338.5666065765167</v>
      </c>
      <c r="K134" s="28">
        <f t="shared" si="7"/>
        <v>467.88231094100996</v>
      </c>
      <c r="L134" s="28">
        <f t="shared" si="7"/>
        <v>33.276472723987098</v>
      </c>
      <c r="M134" s="28">
        <f t="shared" si="8"/>
        <v>4.9746468662248784</v>
      </c>
      <c r="N134" s="28">
        <f t="shared" si="9"/>
        <v>4</v>
      </c>
      <c r="O134" s="28">
        <f t="shared" si="10"/>
        <v>23</v>
      </c>
      <c r="P134" s="28">
        <f t="shared" si="11"/>
        <v>907</v>
      </c>
      <c r="Q134" s="28">
        <f t="shared" si="20"/>
        <v>4778.7000371077384</v>
      </c>
      <c r="R134" s="28">
        <f t="shared" ref="R134" si="24">AVERAGE(R14,R26,R38,R50,R62,R74,R86,R98,R110,R122)</f>
        <v>4415578.9894501893</v>
      </c>
      <c r="S134" s="28">
        <v>133</v>
      </c>
      <c r="T134" s="28">
        <v>463519.20283448428</v>
      </c>
      <c r="V134" s="30">
        <v>133</v>
      </c>
    </row>
    <row r="135" spans="1:22">
      <c r="A135" s="22">
        <v>2021</v>
      </c>
      <c r="B135" s="22" t="s">
        <v>3</v>
      </c>
      <c r="C135" s="23">
        <f t="shared" si="2"/>
        <v>700.8368333333334</v>
      </c>
      <c r="D135" s="23">
        <f t="shared" si="2"/>
        <v>0</v>
      </c>
      <c r="E135" s="24">
        <v>28</v>
      </c>
      <c r="F135" s="24">
        <f>19*16</f>
        <v>304</v>
      </c>
      <c r="G135" s="22">
        <v>0</v>
      </c>
      <c r="H135" s="32">
        <f t="shared" si="5"/>
        <v>143.13177277869406</v>
      </c>
      <c r="I135" s="35">
        <f t="shared" si="6"/>
        <v>756.55578484805983</v>
      </c>
      <c r="J135" s="18">
        <f t="shared" si="7"/>
        <v>3340.7005697921932</v>
      </c>
      <c r="K135" s="18">
        <f t="shared" si="7"/>
        <v>467.79094369857546</v>
      </c>
      <c r="L135" s="18">
        <f t="shared" si="7"/>
        <v>33.21257680601542</v>
      </c>
      <c r="M135" s="18">
        <f t="shared" si="8"/>
        <v>4.9652614871014586</v>
      </c>
      <c r="N135" s="18">
        <f t="shared" si="9"/>
        <v>4</v>
      </c>
      <c r="O135" s="18">
        <f t="shared" si="10"/>
        <v>23</v>
      </c>
      <c r="P135" s="18">
        <f t="shared" si="11"/>
        <v>907</v>
      </c>
      <c r="Q135" s="18">
        <f t="shared" si="20"/>
        <v>4780.6693517838858</v>
      </c>
      <c r="R135" s="18">
        <f t="shared" ref="R135" si="25">AVERAGE(R15,R27,R39,R51,R63,R75,R87,R99,R111,R123)</f>
        <v>4153348.2731425897</v>
      </c>
      <c r="S135" s="18">
        <v>134</v>
      </c>
      <c r="T135" s="18">
        <v>464681.21436755557</v>
      </c>
      <c r="V135" s="21">
        <v>134</v>
      </c>
    </row>
    <row r="136" spans="1:22">
      <c r="A136" s="22">
        <v>2021</v>
      </c>
      <c r="B136" s="22" t="s">
        <v>4</v>
      </c>
      <c r="C136" s="23">
        <f t="shared" si="2"/>
        <v>625.95086111111118</v>
      </c>
      <c r="D136" s="23">
        <f t="shared" si="2"/>
        <v>0.374</v>
      </c>
      <c r="E136" s="24">
        <v>31</v>
      </c>
      <c r="F136" s="24">
        <f>23*16</f>
        <v>368</v>
      </c>
      <c r="G136" s="22">
        <v>1</v>
      </c>
      <c r="H136" s="32">
        <f t="shared" si="5"/>
        <v>143.33716937442975</v>
      </c>
      <c r="I136" s="35">
        <f t="shared" si="6"/>
        <v>757.01623519571558</v>
      </c>
      <c r="J136" s="18">
        <f t="shared" si="7"/>
        <v>3342.704166540866</v>
      </c>
      <c r="K136" s="18">
        <f t="shared" si="7"/>
        <v>467.63201450424708</v>
      </c>
      <c r="L136" s="18">
        <f t="shared" si="7"/>
        <v>33.148535699437396</v>
      </c>
      <c r="M136" s="18">
        <f t="shared" si="8"/>
        <v>4.9555739145844759</v>
      </c>
      <c r="N136" s="18">
        <f t="shared" si="9"/>
        <v>4</v>
      </c>
      <c r="O136" s="18">
        <f t="shared" si="10"/>
        <v>23</v>
      </c>
      <c r="P136" s="18">
        <f t="shared" si="11"/>
        <v>907</v>
      </c>
      <c r="Q136" s="18">
        <f t="shared" si="20"/>
        <v>4782.4402906591349</v>
      </c>
      <c r="R136" s="18">
        <f t="shared" ref="R136" si="26">AVERAGE(R16,R28,R40,R52,R64,R76,R88,R100,R112,R124)</f>
        <v>4552809.7978682304</v>
      </c>
      <c r="S136" s="18">
        <v>135</v>
      </c>
      <c r="T136" s="18">
        <v>465843.2259006268</v>
      </c>
      <c r="V136" s="21">
        <v>135</v>
      </c>
    </row>
    <row r="137" spans="1:22">
      <c r="A137" s="22">
        <v>2021</v>
      </c>
      <c r="B137" s="22" t="s">
        <v>5</v>
      </c>
      <c r="C137" s="23">
        <f t="shared" si="2"/>
        <v>406.6153333333333</v>
      </c>
      <c r="D137" s="23">
        <f t="shared" si="2"/>
        <v>0.01</v>
      </c>
      <c r="E137" s="24">
        <v>30</v>
      </c>
      <c r="F137" s="24">
        <f>21*16</f>
        <v>336</v>
      </c>
      <c r="G137" s="22">
        <v>1</v>
      </c>
      <c r="H137" s="32">
        <f t="shared" si="5"/>
        <v>143.56444119025636</v>
      </c>
      <c r="I137" s="35">
        <f t="shared" si="6"/>
        <v>757.54857907673227</v>
      </c>
      <c r="J137" s="18">
        <f t="shared" si="7"/>
        <v>3344.6892414851714</v>
      </c>
      <c r="K137" s="18">
        <f t="shared" si="7"/>
        <v>467.50415001869374</v>
      </c>
      <c r="L137" s="18">
        <f t="shared" si="7"/>
        <v>33.084371411657187</v>
      </c>
      <c r="M137" s="18">
        <f t="shared" si="8"/>
        <v>4.9455780189974163</v>
      </c>
      <c r="N137" s="18">
        <f t="shared" si="9"/>
        <v>4</v>
      </c>
      <c r="O137" s="18">
        <f t="shared" si="10"/>
        <v>23</v>
      </c>
      <c r="P137" s="18">
        <f t="shared" si="11"/>
        <v>907</v>
      </c>
      <c r="Q137" s="18">
        <f t="shared" si="20"/>
        <v>4784.2233409345199</v>
      </c>
      <c r="R137" s="18">
        <f t="shared" ref="R137" si="27">AVERAGE(R17,R29,R41,R53,R65,R77,R89,R101,R113,R125)</f>
        <v>4320275.3945680708</v>
      </c>
      <c r="S137" s="18">
        <v>136</v>
      </c>
      <c r="T137" s="18">
        <v>467005.23743369809</v>
      </c>
      <c r="V137" s="21">
        <v>136</v>
      </c>
    </row>
    <row r="138" spans="1:22">
      <c r="A138" s="22">
        <v>2021</v>
      </c>
      <c r="B138" s="22" t="s">
        <v>6</v>
      </c>
      <c r="C138" s="23">
        <f t="shared" si="2"/>
        <v>170.47683333333333</v>
      </c>
      <c r="D138" s="23">
        <f t="shared" si="2"/>
        <v>15.288000000000002</v>
      </c>
      <c r="E138" s="24">
        <v>31</v>
      </c>
      <c r="F138" s="24">
        <f>20*16</f>
        <v>320</v>
      </c>
      <c r="G138" s="22">
        <v>1</v>
      </c>
      <c r="H138" s="32">
        <f t="shared" si="5"/>
        <v>143.79606583297982</v>
      </c>
      <c r="I138" s="35">
        <f t="shared" si="6"/>
        <v>758.21559370538125</v>
      </c>
      <c r="J138" s="18">
        <f t="shared" si="7"/>
        <v>3346.6547555523225</v>
      </c>
      <c r="K138" s="18">
        <f t="shared" si="7"/>
        <v>467.4434665147827</v>
      </c>
      <c r="L138" s="18">
        <f t="shared" si="7"/>
        <v>33.020106744662698</v>
      </c>
      <c r="M138" s="18">
        <f t="shared" ref="M138:M145" si="28">TREND(M18:M137,$V$2:$V$121,$V$122:$V$145)</f>
        <v>4.9352675933132311</v>
      </c>
      <c r="N138" s="18">
        <f t="shared" si="9"/>
        <v>4</v>
      </c>
      <c r="O138" s="18">
        <f t="shared" si="10"/>
        <v>23</v>
      </c>
      <c r="P138" s="18">
        <f t="shared" si="11"/>
        <v>907</v>
      </c>
      <c r="Q138" s="18">
        <f t="shared" si="20"/>
        <v>4786.0535964050814</v>
      </c>
      <c r="R138" s="18">
        <f t="shared" ref="R138" si="29">AVERAGE(R18,R30,R42,R54,R66,R78,R90,R102,R114,R126)</f>
        <v>4571296.2624282008</v>
      </c>
      <c r="S138" s="18">
        <v>137</v>
      </c>
      <c r="T138" s="18">
        <v>468167.24896676932</v>
      </c>
      <c r="V138" s="21">
        <v>137</v>
      </c>
    </row>
    <row r="139" spans="1:22">
      <c r="A139" s="22">
        <v>2021</v>
      </c>
      <c r="B139" s="22" t="s">
        <v>7</v>
      </c>
      <c r="C139" s="23">
        <f t="shared" si="2"/>
        <v>58.13183333333334</v>
      </c>
      <c r="D139" s="23">
        <f t="shared" si="2"/>
        <v>29.232499999999998</v>
      </c>
      <c r="E139" s="24">
        <v>30</v>
      </c>
      <c r="F139" s="24">
        <f>22*16</f>
        <v>352</v>
      </c>
      <c r="G139" s="22">
        <v>0</v>
      </c>
      <c r="H139" s="32">
        <f t="shared" si="5"/>
        <v>144.04251307253762</v>
      </c>
      <c r="I139" s="35">
        <f t="shared" si="6"/>
        <v>758.95368728982714</v>
      </c>
      <c r="J139" s="18">
        <f t="shared" si="7"/>
        <v>3348.4287744687067</v>
      </c>
      <c r="K139" s="18">
        <f t="shared" si="7"/>
        <v>467.36850358174183</v>
      </c>
      <c r="L139" s="18">
        <f t="shared" si="7"/>
        <v>32.972852146998775</v>
      </c>
      <c r="M139" s="18">
        <f t="shared" si="28"/>
        <v>4.9246363531514801</v>
      </c>
      <c r="N139" s="18">
        <f t="shared" si="9"/>
        <v>4</v>
      </c>
      <c r="O139" s="18">
        <f t="shared" si="10"/>
        <v>23</v>
      </c>
      <c r="P139" s="18">
        <f t="shared" si="11"/>
        <v>907</v>
      </c>
      <c r="Q139" s="18">
        <f t="shared" si="20"/>
        <v>4787.6947665505995</v>
      </c>
      <c r="R139" s="18">
        <f t="shared" ref="R139" si="30">AVERAGE(R19,R31,R43,R55,R67,R79,R91,R103,R115,R127)</f>
        <v>4462329.8412602898</v>
      </c>
      <c r="S139" s="18">
        <v>138</v>
      </c>
      <c r="T139" s="18">
        <v>469329.2604998406</v>
      </c>
      <c r="V139" s="21">
        <v>138</v>
      </c>
    </row>
    <row r="140" spans="1:22">
      <c r="A140" s="22">
        <v>2021</v>
      </c>
      <c r="B140" s="22" t="s">
        <v>8</v>
      </c>
      <c r="C140" s="23">
        <f t="shared" si="2"/>
        <v>17.550999999999998</v>
      </c>
      <c r="D140" s="23">
        <f t="shared" si="2"/>
        <v>70.626000000000005</v>
      </c>
      <c r="E140" s="24">
        <v>31</v>
      </c>
      <c r="F140" s="24">
        <f>21*16</f>
        <v>336</v>
      </c>
      <c r="G140" s="22">
        <v>0</v>
      </c>
      <c r="H140" s="32">
        <f t="shared" si="5"/>
        <v>144.27726090670552</v>
      </c>
      <c r="I140" s="35">
        <f t="shared" si="6"/>
        <v>759.85594326810815</v>
      </c>
      <c r="J140" s="18">
        <f t="shared" si="7"/>
        <v>3350.2907838942569</v>
      </c>
      <c r="K140" s="18">
        <f t="shared" si="7"/>
        <v>467.36382474147291</v>
      </c>
      <c r="L140" s="18">
        <f t="shared" si="7"/>
        <v>32.926534956270714</v>
      </c>
      <c r="M140" s="18">
        <f t="shared" si="28"/>
        <v>4.9136779368078738</v>
      </c>
      <c r="N140" s="18">
        <f t="shared" si="9"/>
        <v>4</v>
      </c>
      <c r="O140" s="18">
        <f t="shared" si="10"/>
        <v>23</v>
      </c>
      <c r="P140" s="18">
        <f t="shared" si="11"/>
        <v>907</v>
      </c>
      <c r="Q140" s="18">
        <f t="shared" si="20"/>
        <v>4789.4948215288077</v>
      </c>
      <c r="R140" s="18">
        <f t="shared" ref="R140" si="31">AVERAGE(R20,R32,R44,R56,R68,R80,R92,R104,R116,R128)</f>
        <v>4225037.1975728208</v>
      </c>
      <c r="S140" s="18">
        <v>139</v>
      </c>
      <c r="T140" s="18">
        <v>470491.27203291183</v>
      </c>
      <c r="V140" s="21">
        <v>139</v>
      </c>
    </row>
    <row r="141" spans="1:22">
      <c r="A141" s="22">
        <v>2021</v>
      </c>
      <c r="B141" s="22" t="s">
        <v>9</v>
      </c>
      <c r="C141" s="23">
        <f t="shared" si="2"/>
        <v>25.129999999999995</v>
      </c>
      <c r="D141" s="23">
        <f t="shared" si="2"/>
        <v>49.302500000000002</v>
      </c>
      <c r="E141" s="24">
        <v>31</v>
      </c>
      <c r="F141" s="24">
        <f>21*16</f>
        <v>336</v>
      </c>
      <c r="G141" s="22">
        <v>0</v>
      </c>
      <c r="H141" s="32">
        <f t="shared" si="5"/>
        <v>144.51323317299023</v>
      </c>
      <c r="I141" s="35">
        <f t="shared" si="6"/>
        <v>760.92159922691576</v>
      </c>
      <c r="J141" s="18">
        <f t="shared" si="7"/>
        <v>3352.2805064738513</v>
      </c>
      <c r="K141" s="18">
        <f t="shared" si="7"/>
        <v>467.33096395796463</v>
      </c>
      <c r="L141" s="18">
        <f t="shared" si="7"/>
        <v>32.881206274249344</v>
      </c>
      <c r="M141" s="18">
        <f t="shared" si="28"/>
        <v>4.9023859053173178</v>
      </c>
      <c r="N141" s="18">
        <f t="shared" si="9"/>
        <v>4</v>
      </c>
      <c r="O141" s="18">
        <f t="shared" si="10"/>
        <v>23</v>
      </c>
      <c r="P141" s="18">
        <f t="shared" si="11"/>
        <v>907</v>
      </c>
      <c r="Q141" s="18">
        <f t="shared" si="20"/>
        <v>4791.3950626113829</v>
      </c>
      <c r="R141" s="18">
        <f t="shared" ref="R141" si="32">AVERAGE(R21,R33,R45,R57,R69,R81,R93,R105,R117,R129)</f>
        <v>4814531.9147933107</v>
      </c>
      <c r="S141" s="18">
        <v>140</v>
      </c>
      <c r="T141" s="18">
        <v>471653.28356598312</v>
      </c>
      <c r="V141" s="21">
        <v>140</v>
      </c>
    </row>
    <row r="142" spans="1:22">
      <c r="A142" s="22">
        <v>2021</v>
      </c>
      <c r="B142" s="22" t="s">
        <v>10</v>
      </c>
      <c r="C142" s="23">
        <f t="shared" si="2"/>
        <v>98.954666666666654</v>
      </c>
      <c r="D142" s="23">
        <f t="shared" si="2"/>
        <v>26.142499999999995</v>
      </c>
      <c r="E142" s="24">
        <v>30</v>
      </c>
      <c r="F142" s="24">
        <f>21*16</f>
        <v>336</v>
      </c>
      <c r="G142" s="22">
        <v>1</v>
      </c>
      <c r="H142" s="32">
        <f t="shared" si="5"/>
        <v>144.74874740239198</v>
      </c>
      <c r="I142" s="35">
        <f t="shared" si="6"/>
        <v>762.05215130454576</v>
      </c>
      <c r="J142" s="18">
        <f t="shared" si="7"/>
        <v>3354.2689239585243</v>
      </c>
      <c r="K142" s="18">
        <f t="shared" si="7"/>
        <v>467.30231713234156</v>
      </c>
      <c r="L142" s="18">
        <f t="shared" si="7"/>
        <v>32.836918512229389</v>
      </c>
      <c r="M142" s="18">
        <f t="shared" si="28"/>
        <v>4.8907537425515262</v>
      </c>
      <c r="N142" s="18">
        <f t="shared" si="9"/>
        <v>4</v>
      </c>
      <c r="O142" s="18">
        <f t="shared" si="10"/>
        <v>23</v>
      </c>
      <c r="P142" s="18">
        <f t="shared" si="11"/>
        <v>907</v>
      </c>
      <c r="Q142" s="18">
        <f t="shared" si="20"/>
        <v>4793.2989133456467</v>
      </c>
      <c r="R142" s="18">
        <f t="shared" ref="R142" si="33">AVERAGE(R22,R34,R46,R58,R70,R82,R94,R106,R118,R130)</f>
        <v>4523832.6561036911</v>
      </c>
      <c r="S142" s="18">
        <v>141</v>
      </c>
      <c r="T142" s="18">
        <v>472815.29509905435</v>
      </c>
      <c r="V142" s="21">
        <v>141</v>
      </c>
    </row>
    <row r="143" spans="1:22">
      <c r="A143" s="22">
        <v>2021</v>
      </c>
      <c r="B143" s="22" t="s">
        <v>11</v>
      </c>
      <c r="C143" s="23">
        <f t="shared" si="2"/>
        <v>281.5287777777778</v>
      </c>
      <c r="D143" s="23">
        <f t="shared" si="2"/>
        <v>1.4520000000000002</v>
      </c>
      <c r="E143" s="24">
        <v>31</v>
      </c>
      <c r="F143" s="24">
        <f>20*16</f>
        <v>320</v>
      </c>
      <c r="G143" s="22">
        <v>1</v>
      </c>
      <c r="H143" s="32">
        <f t="shared" si="5"/>
        <v>144.9939832966507</v>
      </c>
      <c r="I143" s="35">
        <f t="shared" si="6"/>
        <v>763.08500122486407</v>
      </c>
      <c r="J143" s="18">
        <f t="shared" si="7"/>
        <v>3356.068041981282</v>
      </c>
      <c r="K143" s="18">
        <f t="shared" si="7"/>
        <v>467.27803853691847</v>
      </c>
      <c r="L143" s="18">
        <f t="shared" si="7"/>
        <v>32.793725413208925</v>
      </c>
      <c r="M143" s="18">
        <f t="shared" si="28"/>
        <v>4.878774855352372</v>
      </c>
      <c r="N143" s="18">
        <f t="shared" si="9"/>
        <v>4</v>
      </c>
      <c r="O143" s="18">
        <f t="shared" si="10"/>
        <v>23</v>
      </c>
      <c r="P143" s="18">
        <f t="shared" si="11"/>
        <v>907</v>
      </c>
      <c r="Q143" s="18">
        <f t="shared" si="20"/>
        <v>4795.018580786762</v>
      </c>
      <c r="R143" s="18">
        <f t="shared" ref="R143" si="34">AVERAGE(R23,R35,R47,R59,R71,R83,R95,R107,R119,R131)</f>
        <v>4678280.3545996398</v>
      </c>
      <c r="S143" s="18">
        <v>142</v>
      </c>
      <c r="T143" s="18">
        <v>473977.30663212563</v>
      </c>
      <c r="V143" s="21">
        <v>142</v>
      </c>
    </row>
    <row r="144" spans="1:22">
      <c r="A144" s="22">
        <v>2021</v>
      </c>
      <c r="B144" s="22" t="s">
        <v>12</v>
      </c>
      <c r="C144" s="23">
        <f t="shared" si="2"/>
        <v>492.00127777777777</v>
      </c>
      <c r="D144" s="23">
        <f t="shared" si="2"/>
        <v>0</v>
      </c>
      <c r="E144" s="24">
        <v>30</v>
      </c>
      <c r="F144" s="24">
        <f>22*16</f>
        <v>352</v>
      </c>
      <c r="G144" s="22">
        <v>1</v>
      </c>
      <c r="H144" s="32">
        <f t="shared" si="5"/>
        <v>145.23579060556301</v>
      </c>
      <c r="I144" s="35">
        <f t="shared" si="6"/>
        <v>764.01206148511562</v>
      </c>
      <c r="J144" s="18">
        <f t="shared" si="7"/>
        <v>3357.9061492642004</v>
      </c>
      <c r="K144" s="18">
        <f t="shared" si="7"/>
        <v>467.27537265058396</v>
      </c>
      <c r="L144" s="18">
        <f t="shared" si="7"/>
        <v>32.751682074258014</v>
      </c>
      <c r="M144" s="18">
        <f t="shared" si="28"/>
        <v>4.8664425737020895</v>
      </c>
      <c r="N144" s="18">
        <f t="shared" si="9"/>
        <v>4</v>
      </c>
      <c r="O144" s="18">
        <f t="shared" si="10"/>
        <v>23</v>
      </c>
      <c r="P144" s="18">
        <f t="shared" si="11"/>
        <v>907</v>
      </c>
      <c r="Q144" s="18">
        <f t="shared" si="20"/>
        <v>4796.7996465627439</v>
      </c>
      <c r="R144" s="18">
        <f t="shared" ref="R144" si="35">AVERAGE(R24,R36,R48,R60,R72,R84,R96,R108,R120,R132)</f>
        <v>4337673.9376223106</v>
      </c>
      <c r="S144" s="18">
        <v>143</v>
      </c>
      <c r="T144" s="18">
        <v>475139.31816519692</v>
      </c>
      <c r="V144" s="21">
        <v>143</v>
      </c>
    </row>
    <row r="145" spans="1:22">
      <c r="A145" s="22">
        <v>2021</v>
      </c>
      <c r="B145" s="22" t="s">
        <v>13</v>
      </c>
      <c r="C145" s="23">
        <f t="shared" si="2"/>
        <v>646.34866666666665</v>
      </c>
      <c r="D145" s="23">
        <f t="shared" si="2"/>
        <v>0</v>
      </c>
      <c r="E145" s="24">
        <v>31</v>
      </c>
      <c r="F145" s="24">
        <f>21*16</f>
        <v>336</v>
      </c>
      <c r="G145" s="22">
        <v>0</v>
      </c>
      <c r="H145" s="32">
        <f t="shared" si="5"/>
        <v>145.47220130237883</v>
      </c>
      <c r="I145" s="35">
        <f t="shared" si="6"/>
        <v>764.8471869187938</v>
      </c>
      <c r="J145" s="18">
        <f t="shared" si="7"/>
        <v>3359.8029771924112</v>
      </c>
      <c r="K145" s="18">
        <f t="shared" si="7"/>
        <v>467.15877558826088</v>
      </c>
      <c r="L145" s="18">
        <f t="shared" si="7"/>
        <v>32.676671299605424</v>
      </c>
      <c r="M145" s="18">
        <f t="shared" si="28"/>
        <v>4.8537501509315248</v>
      </c>
      <c r="N145" s="18">
        <f t="shared" si="9"/>
        <v>4</v>
      </c>
      <c r="O145" s="18">
        <f t="shared" si="10"/>
        <v>23</v>
      </c>
      <c r="P145" s="18">
        <f t="shared" si="11"/>
        <v>907</v>
      </c>
      <c r="Q145" s="18">
        <f t="shared" si="20"/>
        <v>4798.492174231209</v>
      </c>
      <c r="R145" s="18">
        <f t="shared" ref="R145" si="36">AVERAGE(R25,R37,R49,R61,R73,R85,R97,R109,R121,R133)</f>
        <v>3789382.4527209401</v>
      </c>
      <c r="S145" s="18">
        <v>144</v>
      </c>
      <c r="T145" s="18">
        <v>476301.32969826815</v>
      </c>
      <c r="V145" s="21">
        <v>144</v>
      </c>
    </row>
    <row r="146" spans="1:22">
      <c r="A146" s="14" t="s">
        <v>75</v>
      </c>
      <c r="Q146" s="7"/>
      <c r="R146" s="2"/>
    </row>
    <row r="147" spans="1:22" s="20" customFormat="1" ht="29">
      <c r="A147" s="19"/>
      <c r="B147" s="19"/>
      <c r="C147" s="19" t="s">
        <v>79</v>
      </c>
      <c r="D147" s="19" t="s">
        <v>79</v>
      </c>
      <c r="E147" s="19" t="s">
        <v>76</v>
      </c>
      <c r="F147" s="19" t="s">
        <v>76</v>
      </c>
      <c r="G147" s="19" t="s">
        <v>76</v>
      </c>
      <c r="H147" s="19" t="s">
        <v>81</v>
      </c>
      <c r="I147" s="19" t="s">
        <v>81</v>
      </c>
      <c r="J147" s="19" t="s">
        <v>81</v>
      </c>
      <c r="K147" s="19" t="s">
        <v>81</v>
      </c>
      <c r="L147" s="19" t="s">
        <v>81</v>
      </c>
      <c r="M147" s="19" t="s">
        <v>81</v>
      </c>
      <c r="N147" s="19" t="s">
        <v>83</v>
      </c>
      <c r="O147" s="19" t="s">
        <v>83</v>
      </c>
      <c r="P147" s="19" t="s">
        <v>83</v>
      </c>
      <c r="Q147" s="19" t="s">
        <v>84</v>
      </c>
      <c r="R147" s="19" t="s">
        <v>79</v>
      </c>
      <c r="S147" s="19" t="s">
        <v>76</v>
      </c>
      <c r="T147" s="150" t="s">
        <v>149</v>
      </c>
      <c r="V147" s="21"/>
    </row>
    <row r="148" spans="1:22">
      <c r="A148" s="248" t="s">
        <v>196</v>
      </c>
    </row>
  </sheetData>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14</vt:i4>
      </vt:variant>
      <vt:variant>
        <vt:lpstr>Named Ranges</vt:lpstr>
      </vt:variant>
      <vt:variant>
        <vt:i4>2</vt:i4>
      </vt:variant>
    </vt:vector>
  </HeadingPairs>
  <TitlesOfParts>
    <vt:vector size="16" baseType="lpstr">
      <vt:lpstr>1. Load Forecast Summary</vt:lpstr>
      <vt:lpstr>2a. Power Purchased Model </vt:lpstr>
      <vt:lpstr>Regression Input</vt:lpstr>
      <vt:lpstr>Regression Results</vt:lpstr>
      <vt:lpstr>2b. Power Purchase 20yr HDD-CDD</vt:lpstr>
      <vt:lpstr>3a. Rate Class Energy Model</vt:lpstr>
      <vt:lpstr>3b. Rate Class Customer Model</vt:lpstr>
      <vt:lpstr>3c. Rate Class Load Model</vt:lpstr>
      <vt:lpstr>4a. Variables</vt:lpstr>
      <vt:lpstr>4b. HDD-CDD</vt:lpstr>
      <vt:lpstr>5a. Metered Consumption</vt:lpstr>
      <vt:lpstr>5b. Monthly Demand</vt:lpstr>
      <vt:lpstr>5c. Customer Count-Connections</vt:lpstr>
      <vt:lpstr>5d. Streetlights LED Conv</vt:lpstr>
      <vt:lpstr>'2a. Power Purchased Model '!Print_Area</vt:lpstr>
      <vt:lpstr>'2b. Power Purchase 20yr HDD-CDD'!Print_Area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Richard Bucknall</dc:creator>
  <cp:lastModifiedBy>Richard Bucknall</cp:lastModifiedBy>
  <cp:lastPrinted>2020-02-07T17:14:13Z</cp:lastPrinted>
  <dcterms:created xsi:type="dcterms:W3CDTF">2019-09-11T14:49:24Z</dcterms:created>
  <dcterms:modified xsi:type="dcterms:W3CDTF">2021-02-05T18:57:47Z</dcterms:modified>
</cp:coreProperties>
</file>