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Regulatory\OEB\IRM\2021 IRM\P - IRs\C - Submission IRs\Appendix- Final Hardcoded\"/>
    </mc:Choice>
  </mc:AlternateContent>
  <xr:revisionPtr revIDLastSave="0" documentId="13_ncr:1_{63B790DA-8445-4014-A868-B367716E452A}" xr6:coauthVersionLast="46" xr6:coauthVersionMax="46" xr10:uidLastSave="{00000000-0000-0000-0000-000000000000}"/>
  <bookViews>
    <workbookView xWindow="-108" yWindow="-108" windowWidth="30936" windowHeight="16896" tabRatio="776" activeTab="1" xr2:uid="{00000000-000D-0000-FFFF-FFFF00000000}"/>
  </bookViews>
  <sheets>
    <sheet name="Checklist" sheetId="1" r:id="rId1"/>
    <sheet name=" Load Summary" sheetId="33" r:id="rId2"/>
    <sheet name="Load Analysis" sheetId="34" r:id="rId3"/>
    <sheet name="TOU" sheetId="9" r:id="rId4"/>
    <sheet name="LDC Peak" sheetId="2" r:id="rId5"/>
    <sheet name="Customer Forecast" sheetId="15" r:id="rId6"/>
    <sheet name="Ref" sheetId="10" state="hidden" r:id="rId7"/>
  </sheets>
  <externalReferences>
    <externalReference r:id="rId8"/>
    <externalReference r:id="rId9"/>
    <externalReference r:id="rId10"/>
    <externalReference r:id="rId11"/>
  </externalReferences>
  <definedNames>
    <definedName name="_Fill" localSheetId="1" hidden="1">#REF!</definedName>
    <definedName name="_Fill" localSheetId="2" hidden="1">#REF!</definedName>
    <definedName name="_Fill" hidden="1">#REF!</definedName>
    <definedName name="_xlnm._FilterDatabase" localSheetId="2" hidden="1">'Load Analysis'!$B$4:$H$136</definedName>
    <definedName name="_Regression_Int" hidden="1">1</definedName>
    <definedName name="ActualCapex">'[1]Input - Conn Info'!$W$143</definedName>
    <definedName name="BE_Load_Year" localSheetId="1">#REF!</definedName>
    <definedName name="BE_Load_Year" localSheetId="2">#REF!</definedName>
    <definedName name="BE_Load_Year">#REF!</definedName>
    <definedName name="CAPEX_B">'[1]Input - Proj Info'!$I$23</definedName>
    <definedName name="CAPEX_B_Adj" localSheetId="1">(1-DAY(CAPEX_B)/31)</definedName>
    <definedName name="CAPEX_B_Adj" localSheetId="2">(1-DAY(CAPEX_B)/31)</definedName>
    <definedName name="CAPEX_B_Adj">(1-DAY(CAPEX_B)/31)</definedName>
    <definedName name="CAPEX_B_year" localSheetId="1">YEAR(CAPEX_B)</definedName>
    <definedName name="CAPEX_B_year" localSheetId="2">YEAR(CAPEX_B)</definedName>
    <definedName name="CAPEX_B_year">YEAR(CAPEX_B)</definedName>
    <definedName name="CCA_CL47">'[1]System Use -  Finance Input'!$E$71</definedName>
    <definedName name="CL10_Capex">'[1]Input - Conn Info'!$W$105</definedName>
    <definedName name="ConnectionAssetClass1Only" localSheetId="1">'[2]Input - Conn Info'!#REF!</definedName>
    <definedName name="ConnectionAssetClass1Only" localSheetId="2">'[2]Input - Conn Info'!#REF!</definedName>
    <definedName name="ConnectionAssetClass1Only">'[2]Input - Conn Info'!#REF!</definedName>
    <definedName name="Contribution">'[1]System Use - Contr Calc'!$F$23</definedName>
    <definedName name="DiscRate">'[1]System Use -  Finance Input'!$F$24</definedName>
    <definedName name="DSSS">(1-DAY(IS_DATE)/31)</definedName>
    <definedName name="growth" localSheetId="1">#REF!</definedName>
    <definedName name="growth" localSheetId="2">#REF!</definedName>
    <definedName name="growth">#REF!</definedName>
    <definedName name="GST">'[1]System Use -  Finance Input'!$D$60</definedName>
    <definedName name="IS_DATE">'[1]Input - Proj Info'!$I$25</definedName>
    <definedName name="IS_DATE_Adj" localSheetId="1">(1-DAY(IS_DATE)/31)</definedName>
    <definedName name="IS_DATE_Adj" localSheetId="2">(1-DAY(IS_DATE)/31)</definedName>
    <definedName name="IS_DATE_Adj">(1-DAY(IS_DATE)/31)</definedName>
    <definedName name="IS_DATE_day" localSheetId="1">DAY(IS_DATE)</definedName>
    <definedName name="IS_DATE_day" localSheetId="2">DAY(IS_DATE)</definedName>
    <definedName name="IS_DATE_day">DAY(IS_DATE)</definedName>
    <definedName name="IS_DATE_month" localSheetId="1">MONTH(IS_DATE)</definedName>
    <definedName name="IS_DATE_month" localSheetId="2">MONTH(IS_DATE)</definedName>
    <definedName name="IS_DATE_month">MONTH(IS_DATE)</definedName>
    <definedName name="IS_DATE_year" localSheetId="1">YEAR(IS_DATE)</definedName>
    <definedName name="IS_DATE_year" localSheetId="2">YEAR(IS_DATE)</definedName>
    <definedName name="IS_DATE_year">YEAR(IS_DATE)</definedName>
    <definedName name="IS_YR" localSheetId="1">'[3]Input - Proj Info'!$M$36</definedName>
    <definedName name="IS_YR" localSheetId="2">'[3]Input - Proj Info'!$M$36</definedName>
    <definedName name="IS_YR">'[4]Input - Proj Info'!$M$32</definedName>
    <definedName name="LCT">'[1]System Use -  Finance Input'!$F$50</definedName>
    <definedName name="Length_of_Economic_Study">'[1]System Use - MenuDropDown'!$F$30</definedName>
    <definedName name="MaxPaybackYear" localSheetId="1">#REF!</definedName>
    <definedName name="MaxPaybackYear" localSheetId="2">#REF!</definedName>
    <definedName name="MaxPaybackYear">#REF!</definedName>
    <definedName name="MU_TAX">'[1]System Use -  Finance Input'!$D$62</definedName>
    <definedName name="OCT">'[1]System Use -  Finance Input'!$F$48</definedName>
    <definedName name="Payback_Period">'[1]System Use - Contr Calc'!$D$30</definedName>
    <definedName name="Payback_Year">'[1]System Use - Contr Calc'!$D$32</definedName>
    <definedName name="PaybackYear_Cont_Sum">'[3]Contr Calc.'!$AV$50</definedName>
    <definedName name="PermAfterPVSummary" localSheetId="1">#REF!</definedName>
    <definedName name="PermAfterPVSummary" localSheetId="2">#REF!</definedName>
    <definedName name="PermAfterPVSummary">#REF!</definedName>
    <definedName name="PermBeforePVSummary" localSheetId="1">#REF!</definedName>
    <definedName name="PermBeforePVSummary" localSheetId="2">#REF!</definedName>
    <definedName name="PermBeforePVSummary">#REF!</definedName>
    <definedName name="_xlnm.Print_Area" localSheetId="1">' Load Summary'!$A$1:$O$65</definedName>
    <definedName name="_xlnm.Print_Area" localSheetId="2">'Load Analysis'!$B$2:$Q$64</definedName>
    <definedName name="_xlnm.Print_Titles" localSheetId="2">'Load Analysis'!$1:$4</definedName>
    <definedName name="Project_Costs_CL8_CL10_UserClass">'[1]Input - Proj Info'!$I$77:$R$77,'[1]Input - Proj Info'!$I$79:$R$79,'[1]Input - Proj Info'!$I$81:$R$81,'[1]Input - Proj Info'!$I$89:$R$89,'[1]Input - Proj Info'!$I$99:$R$99,'[1]Input - Proj Info'!$I$101:$R$101,'[1]Input - Proj Info'!$I$103:$R$103</definedName>
    <definedName name="Project_Costs_Land_CL47">'[1]Input - Proj Info'!$I$43:$R$43,'[1]Input - Proj Info'!$I$45:$R$45,'[1]Input - Proj Info'!$I$47:$R$47,'[1]Input - Proj Info'!$I$55:$R$55,'[1]Input - Proj Info'!$I$57:$R$57,'[1]Input - Proj Info'!$I$59:$R$59</definedName>
    <definedName name="Project_Costs_Removals">'[1]Input - Proj Info'!$I$67:$R$67,'[1]Input - Proj Info'!$I$69:$R$69</definedName>
    <definedName name="Project_Load_Historical">'[1]Input - Proj Info'!$G$125:$G$136,'[1]Input - Proj Info'!$G$142</definedName>
    <definedName name="PS_Capex" localSheetId="1">ActualCapex-CL10_Capex</definedName>
    <definedName name="PS_Capex" localSheetId="2">ActualCapex-CL10_Capex</definedName>
    <definedName name="PS_Capex">ActualCapex-CL10_Capex</definedName>
    <definedName name="rate">'[3]Contr Calc.'!$D$12</definedName>
    <definedName name="Rev_Guarantee_Method">'[3]Input - Conn Info'!$F$523</definedName>
    <definedName name="Revenue_Guarantee_Scenario__New_Method">'[3]Input - Conn Info'!$I$525</definedName>
    <definedName name="Revenue_Guarantee_Scenario__Old_Method">'[3]Input - Conn Info'!$I$523</definedName>
    <definedName name="SDSD">MONTH(IS_DATE)</definedName>
    <definedName name="sheet1" localSheetId="1">#REF!</definedName>
    <definedName name="sheet1" localSheetId="2">#REF!</definedName>
    <definedName name="sheet1">#REF!</definedName>
    <definedName name="Spec_Run_Indicator">'[3]Input - Conn Info'!$J$291</definedName>
    <definedName name="STUDY_B">'[3]Input - Proj Info'!$M$42</definedName>
    <definedName name="STUDY_E" localSheetId="1">' Load Summary'!IS_DATE_year+Length_of_Economic_Study</definedName>
    <definedName name="STUDY_E" localSheetId="2">'Load Analysis'!IS_DATE_year+Length_of_Economic_Study</definedName>
    <definedName name="STUDY_E">IS_DATE_year+Length_of_Economic_Study</definedName>
    <definedName name="Sum_of_Years_for_CL47PS">SUM('[1]Input - Conn Info'!$L$44:$U$44)</definedName>
    <definedName name="Sum_of_Years_for_CL8PS">SUM('[1]Input - Conn Info'!$L$76:$U$76)</definedName>
    <definedName name="Sum_of_Years_for_LandPS">SUM('[1]Input - Conn Info'!$L$23:$U$23)</definedName>
    <definedName name="Sum_of_Years_for_PS">SUM('[1]Input - Conn Info'!$L$24:$U$24)</definedName>
    <definedName name="Sum_of_Years_for_UserCLPS">SUM('[1]Input - Conn Info'!$L$126:$U$126)</definedName>
    <definedName name="Tariff">'[1]System Use -  Finance Input'!$D$102</definedName>
    <definedName name="TaxRate">'[1]System Use -  Finance Input'!$F$42</definedName>
    <definedName name="TaxRate_00">'[3]Input - Proj Info'!$M$120</definedName>
    <definedName name="TempPVSummary" localSheetId="1">#REF!</definedName>
    <definedName name="TempPVSummary" localSheetId="2">#REF!</definedName>
    <definedName name="TempPVSummary">#REF!</definedName>
    <definedName name="User_Input_OMA">'[1]Input - Proj Info'!$F$154,'[1]Input - Proj Info'!$I$154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5" l="1"/>
  <c r="H6" i="15" s="1"/>
  <c r="I6" i="15"/>
  <c r="N6" i="15"/>
  <c r="O6" i="15" s="1"/>
  <c r="J6" i="15" l="1"/>
  <c r="F138" i="2"/>
  <c r="F150" i="2"/>
  <c r="F90" i="2"/>
  <c r="F102" i="2"/>
  <c r="F114" i="2"/>
  <c r="F126" i="2"/>
  <c r="F66" i="2"/>
  <c r="F78" i="2"/>
  <c r="F30" i="2"/>
  <c r="F42" i="2"/>
  <c r="F54" i="2"/>
  <c r="F18" i="2"/>
  <c r="A161" i="2" l="1"/>
  <c r="A160" i="2"/>
  <c r="A159" i="2"/>
  <c r="A158" i="2"/>
  <c r="A157" i="2"/>
  <c r="A156" i="2"/>
  <c r="A155" i="2"/>
  <c r="A154" i="2"/>
  <c r="A153" i="2"/>
  <c r="A152" i="2"/>
  <c r="A151" i="2"/>
  <c r="A150" i="2"/>
  <c r="P125" i="34" l="1"/>
  <c r="N125" i="34"/>
  <c r="M125" i="34"/>
  <c r="K125" i="34"/>
  <c r="H125" i="34"/>
  <c r="J125" i="34" s="1"/>
  <c r="G19" i="33" s="1"/>
  <c r="O125" i="34" l="1"/>
  <c r="Q125" i="34" l="1"/>
  <c r="H19" i="33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N5" i="34"/>
  <c r="H5" i="34" l="1"/>
  <c r="J5" i="34" s="1"/>
  <c r="K5" i="34"/>
  <c r="M5" i="34"/>
  <c r="O5" i="34" s="1"/>
  <c r="H9" i="33" s="1"/>
  <c r="P5" i="34"/>
  <c r="H17" i="34"/>
  <c r="J17" i="34" s="1"/>
  <c r="G10" i="33" s="1"/>
  <c r="K17" i="34"/>
  <c r="M17" i="34"/>
  <c r="O17" i="34" s="1"/>
  <c r="H10" i="33" s="1"/>
  <c r="N17" i="34"/>
  <c r="P17" i="34"/>
  <c r="H29" i="34"/>
  <c r="J29" i="34"/>
  <c r="K29" i="34"/>
  <c r="M29" i="34"/>
  <c r="N29" i="34"/>
  <c r="P29" i="34"/>
  <c r="H41" i="34"/>
  <c r="J41" i="34" s="1"/>
  <c r="K41" i="34"/>
  <c r="M41" i="34"/>
  <c r="N41" i="34"/>
  <c r="O41" i="34" s="1"/>
  <c r="H12" i="33" s="1"/>
  <c r="P41" i="34"/>
  <c r="H53" i="34"/>
  <c r="J53" i="34" s="1"/>
  <c r="K53" i="34"/>
  <c r="M53" i="34"/>
  <c r="N53" i="34"/>
  <c r="P53" i="34"/>
  <c r="H65" i="34"/>
  <c r="J65" i="34" s="1"/>
  <c r="K65" i="34"/>
  <c r="M65" i="34"/>
  <c r="N65" i="34"/>
  <c r="P65" i="34"/>
  <c r="H77" i="34"/>
  <c r="J77" i="34" s="1"/>
  <c r="G15" i="33" s="1"/>
  <c r="K77" i="34"/>
  <c r="M77" i="34"/>
  <c r="N77" i="34"/>
  <c r="P77" i="34"/>
  <c r="H89" i="34"/>
  <c r="J89" i="34" s="1"/>
  <c r="K89" i="34"/>
  <c r="M89" i="34"/>
  <c r="N89" i="34"/>
  <c r="P89" i="34"/>
  <c r="H101" i="34"/>
  <c r="J101" i="34" s="1"/>
  <c r="G17" i="33" s="1"/>
  <c r="K101" i="34"/>
  <c r="M101" i="34"/>
  <c r="N101" i="34"/>
  <c r="P101" i="34"/>
  <c r="H113" i="34"/>
  <c r="J113" i="34" s="1"/>
  <c r="G18" i="33" s="1"/>
  <c r="K113" i="34"/>
  <c r="M113" i="34"/>
  <c r="N113" i="34"/>
  <c r="O113" i="34" s="1"/>
  <c r="H18" i="33" s="1"/>
  <c r="P113" i="34"/>
  <c r="J1" i="33"/>
  <c r="P2" i="33"/>
  <c r="L14" i="33"/>
  <c r="L15" i="33"/>
  <c r="L16" i="33"/>
  <c r="L17" i="33"/>
  <c r="L18" i="33"/>
  <c r="L19" i="33"/>
  <c r="T19" i="33" s="1"/>
  <c r="N19" i="33"/>
  <c r="O19" i="33" s="1"/>
  <c r="L20" i="33"/>
  <c r="L21" i="33"/>
  <c r="T21" i="33" s="1"/>
  <c r="L22" i="33"/>
  <c r="L23" i="33"/>
  <c r="T23" i="33" s="1"/>
  <c r="L24" i="33"/>
  <c r="L25" i="33"/>
  <c r="T25" i="33" s="1"/>
  <c r="L26" i="33"/>
  <c r="L27" i="33"/>
  <c r="T27" i="33" s="1"/>
  <c r="L28" i="33"/>
  <c r="N28" i="33" s="1"/>
  <c r="O28" i="33" s="1"/>
  <c r="L29" i="33"/>
  <c r="T29" i="33" s="1"/>
  <c r="L30" i="33"/>
  <c r="N30" i="33" s="1"/>
  <c r="O30" i="33" s="1"/>
  <c r="L31" i="33"/>
  <c r="T31" i="33" s="1"/>
  <c r="L32" i="33"/>
  <c r="N32" i="33" s="1"/>
  <c r="O32" i="33" s="1"/>
  <c r="T32" i="33"/>
  <c r="L33" i="33"/>
  <c r="T33" i="33" s="1"/>
  <c r="N33" i="33"/>
  <c r="O33" i="33" s="1"/>
  <c r="T34" i="33"/>
  <c r="U34" i="33"/>
  <c r="N21" i="33" l="1"/>
  <c r="O21" i="33" s="1"/>
  <c r="O101" i="34"/>
  <c r="H17" i="33" s="1"/>
  <c r="N27" i="33"/>
  <c r="O27" i="33" s="1"/>
  <c r="O77" i="34"/>
  <c r="H15" i="33" s="1"/>
  <c r="I15" i="33" s="1"/>
  <c r="J15" i="33" s="1"/>
  <c r="T28" i="33"/>
  <c r="O53" i="34"/>
  <c r="H13" i="33" s="1"/>
  <c r="O65" i="34"/>
  <c r="H14" i="33" s="1"/>
  <c r="Q6" i="33" s="1"/>
  <c r="O89" i="34"/>
  <c r="H16" i="33" s="1"/>
  <c r="O29" i="34"/>
  <c r="H11" i="33" s="1"/>
  <c r="N23" i="33"/>
  <c r="O23" i="33" s="1"/>
  <c r="Q5" i="34"/>
  <c r="N31" i="33"/>
  <c r="O31" i="33" s="1"/>
  <c r="N25" i="33"/>
  <c r="O25" i="33" s="1"/>
  <c r="Q41" i="34"/>
  <c r="G12" i="33"/>
  <c r="Q89" i="34"/>
  <c r="Q113" i="34"/>
  <c r="Q17" i="34"/>
  <c r="Q53" i="34"/>
  <c r="Q65" i="34"/>
  <c r="T30" i="33"/>
  <c r="N29" i="33"/>
  <c r="O29" i="33" s="1"/>
  <c r="G14" i="33"/>
  <c r="I14" i="33" s="1"/>
  <c r="J14" i="33" s="1"/>
  <c r="I17" i="33"/>
  <c r="J17" i="33" s="1"/>
  <c r="G16" i="33"/>
  <c r="G13" i="33"/>
  <c r="G11" i="33"/>
  <c r="I11" i="33" s="1"/>
  <c r="L11" i="33" s="1"/>
  <c r="G9" i="33"/>
  <c r="I9" i="33" s="1"/>
  <c r="J9" i="33" s="1"/>
  <c r="Q101" i="34"/>
  <c r="Q77" i="34"/>
  <c r="I18" i="33"/>
  <c r="J18" i="33" s="1"/>
  <c r="I12" i="33"/>
  <c r="J12" i="33" s="1"/>
  <c r="N26" i="33"/>
  <c r="O26" i="33" s="1"/>
  <c r="T26" i="33"/>
  <c r="N18" i="33"/>
  <c r="O18" i="33" s="1"/>
  <c r="T18" i="33"/>
  <c r="N14" i="33"/>
  <c r="O14" i="33" s="1"/>
  <c r="T14" i="33"/>
  <c r="N20" i="33"/>
  <c r="O20" i="33" s="1"/>
  <c r="T20" i="33"/>
  <c r="N15" i="33"/>
  <c r="O15" i="33" s="1"/>
  <c r="T15" i="33"/>
  <c r="N22" i="33"/>
  <c r="O22" i="33" s="1"/>
  <c r="T22" i="33"/>
  <c r="N16" i="33"/>
  <c r="O16" i="33" s="1"/>
  <c r="T16" i="33"/>
  <c r="I10" i="33"/>
  <c r="N24" i="33"/>
  <c r="O24" i="33" s="1"/>
  <c r="T24" i="33"/>
  <c r="N17" i="33"/>
  <c r="O17" i="33" s="1"/>
  <c r="T17" i="33"/>
  <c r="I13" i="33" l="1"/>
  <c r="J13" i="33" s="1"/>
  <c r="Q29" i="34"/>
  <c r="J11" i="33"/>
  <c r="L12" i="33"/>
  <c r="N12" i="33" s="1"/>
  <c r="O12" i="33" s="1"/>
  <c r="L9" i="33"/>
  <c r="T9" i="33" s="1"/>
  <c r="I16" i="33"/>
  <c r="J16" i="33" s="1"/>
  <c r="J10" i="33"/>
  <c r="L10" i="33"/>
  <c r="T12" i="33"/>
  <c r="T11" i="33"/>
  <c r="N11" i="33"/>
  <c r="O11" i="33" s="1"/>
  <c r="N9" i="33" l="1"/>
  <c r="O9" i="33" s="1"/>
  <c r="L13" i="33"/>
  <c r="T13" i="33"/>
  <c r="U13" i="33" s="1"/>
  <c r="N13" i="33"/>
  <c r="O13" i="33" s="1"/>
  <c r="T10" i="33"/>
  <c r="N10" i="33"/>
  <c r="O10" i="33" s="1"/>
  <c r="A19" i="2" l="1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8" i="2" l="1"/>
  <c r="N7" i="15" l="1"/>
  <c r="O7" i="15" s="1"/>
  <c r="D24" i="15" s="1"/>
  <c r="G20" i="33" s="1"/>
  <c r="N8" i="15"/>
  <c r="O8" i="15" s="1"/>
  <c r="N9" i="15"/>
  <c r="O9" i="15" s="1"/>
  <c r="N10" i="15"/>
  <c r="O10" i="15" s="1"/>
  <c r="N11" i="15"/>
  <c r="O11" i="15" s="1"/>
  <c r="N12" i="15"/>
  <c r="O12" i="15" s="1"/>
  <c r="N13" i="15"/>
  <c r="O13" i="15" s="1"/>
  <c r="N14" i="15"/>
  <c r="O14" i="15" s="1"/>
  <c r="N15" i="15"/>
  <c r="O15" i="15" s="1"/>
  <c r="N16" i="15"/>
  <c r="O16" i="15" s="1"/>
  <c r="N17" i="15"/>
  <c r="O17" i="15" s="1"/>
  <c r="N18" i="15"/>
  <c r="O18" i="15" s="1"/>
  <c r="N19" i="15"/>
  <c r="O19" i="15" s="1"/>
  <c r="N20" i="15"/>
  <c r="O20" i="15" s="1"/>
  <c r="D32" i="15" l="1"/>
  <c r="G28" i="33" s="1"/>
  <c r="D28" i="15"/>
  <c r="G24" i="33" s="1"/>
  <c r="D30" i="15"/>
  <c r="G26" i="33" s="1"/>
  <c r="D31" i="15"/>
  <c r="G27" i="33" s="1"/>
  <c r="D26" i="15"/>
  <c r="G22" i="33" s="1"/>
  <c r="D34" i="15"/>
  <c r="G30" i="33" s="1"/>
  <c r="D29" i="15"/>
  <c r="G25" i="33" s="1"/>
  <c r="D37" i="15"/>
  <c r="G33" i="33" s="1"/>
  <c r="D36" i="15"/>
  <c r="G32" i="33" s="1"/>
  <c r="D35" i="15"/>
  <c r="G31" i="33" s="1"/>
  <c r="D27" i="15"/>
  <c r="G23" i="33" s="1"/>
  <c r="D33" i="15"/>
  <c r="G29" i="33" s="1"/>
  <c r="D25" i="15"/>
  <c r="G21" i="33" s="1"/>
  <c r="G16" i="15"/>
  <c r="H16" i="15" s="1"/>
  <c r="J16" i="15" s="1"/>
  <c r="C34" i="15" s="1"/>
  <c r="H30" i="33" s="1"/>
  <c r="G17" i="15"/>
  <c r="H17" i="15" s="1"/>
  <c r="J17" i="15" s="1"/>
  <c r="C35" i="15" s="1"/>
  <c r="H31" i="33" s="1"/>
  <c r="G18" i="15"/>
  <c r="H18" i="15" s="1"/>
  <c r="J18" i="15" s="1"/>
  <c r="C36" i="15" s="1"/>
  <c r="H32" i="33" s="1"/>
  <c r="G19" i="15"/>
  <c r="H19" i="15" s="1"/>
  <c r="J19" i="15" s="1"/>
  <c r="C37" i="15" s="1"/>
  <c r="H33" i="33" s="1"/>
  <c r="G20" i="15"/>
  <c r="H20" i="15" s="1"/>
  <c r="J20" i="15" s="1"/>
  <c r="B5" i="9"/>
  <c r="I30" i="33" l="1"/>
  <c r="J30" i="33" s="1"/>
  <c r="I32" i="33"/>
  <c r="J32" i="33" s="1"/>
  <c r="I33" i="33"/>
  <c r="J33" i="33" s="1"/>
  <c r="I31" i="33"/>
  <c r="J31" i="33" s="1"/>
  <c r="C24" i="15"/>
  <c r="H20" i="33" s="1"/>
  <c r="I20" i="33" s="1"/>
  <c r="J20" i="33" s="1"/>
  <c r="G7" i="15"/>
  <c r="H7" i="15" s="1"/>
  <c r="J7" i="15" s="1"/>
  <c r="C25" i="15" s="1"/>
  <c r="H21" i="33" s="1"/>
  <c r="I21" i="33" s="1"/>
  <c r="J21" i="33" s="1"/>
  <c r="G8" i="15"/>
  <c r="H8" i="15" s="1"/>
  <c r="J8" i="15" s="1"/>
  <c r="C26" i="15" s="1"/>
  <c r="H22" i="33" s="1"/>
  <c r="I22" i="33" s="1"/>
  <c r="J22" i="33" s="1"/>
  <c r="G9" i="15"/>
  <c r="H9" i="15" s="1"/>
  <c r="J9" i="15" s="1"/>
  <c r="C27" i="15" s="1"/>
  <c r="H23" i="33" s="1"/>
  <c r="I23" i="33" s="1"/>
  <c r="J23" i="33" s="1"/>
  <c r="G10" i="15"/>
  <c r="H10" i="15" s="1"/>
  <c r="J10" i="15" s="1"/>
  <c r="C28" i="15" s="1"/>
  <c r="H24" i="33" s="1"/>
  <c r="I24" i="33" s="1"/>
  <c r="J24" i="33" s="1"/>
  <c r="G11" i="15"/>
  <c r="H11" i="15" s="1"/>
  <c r="J11" i="15" s="1"/>
  <c r="C29" i="15" s="1"/>
  <c r="H25" i="33" s="1"/>
  <c r="I25" i="33" s="1"/>
  <c r="J25" i="33" s="1"/>
  <c r="G12" i="15"/>
  <c r="H12" i="15" s="1"/>
  <c r="J12" i="15" s="1"/>
  <c r="C30" i="15" s="1"/>
  <c r="H26" i="33" s="1"/>
  <c r="I26" i="33" s="1"/>
  <c r="J26" i="33" s="1"/>
  <c r="G13" i="15"/>
  <c r="H13" i="15" s="1"/>
  <c r="J13" i="15" s="1"/>
  <c r="C31" i="15" s="1"/>
  <c r="H27" i="33" s="1"/>
  <c r="I27" i="33" s="1"/>
  <c r="J27" i="33" s="1"/>
  <c r="G14" i="15"/>
  <c r="H14" i="15" s="1"/>
  <c r="J14" i="15" s="1"/>
  <c r="C32" i="15" s="1"/>
  <c r="H28" i="33" s="1"/>
  <c r="I28" i="33" s="1"/>
  <c r="J28" i="33" s="1"/>
  <c r="G15" i="15"/>
  <c r="H15" i="15" s="1"/>
  <c r="J15" i="15" s="1"/>
  <c r="C33" i="15" s="1"/>
  <c r="H29" i="33" s="1"/>
  <c r="I29" i="33" s="1"/>
  <c r="J29" i="33" s="1"/>
  <c r="B7" i="9" l="1"/>
  <c r="C7" i="9" l="1"/>
  <c r="D7" i="9" s="1"/>
  <c r="E7" i="9" s="1"/>
  <c r="F7" i="9" s="1"/>
  <c r="G7" i="9" s="1"/>
  <c r="H7" i="9" s="1"/>
  <c r="I7" i="9" s="1"/>
  <c r="J7" i="9" s="1"/>
  <c r="K7" i="9" s="1"/>
  <c r="L7" i="9" s="1"/>
  <c r="M7" i="9" s="1"/>
  <c r="N7" i="9" s="1"/>
  <c r="O7" i="9" s="1"/>
  <c r="P7" i="9" s="1"/>
  <c r="Q7" i="9" s="1"/>
  <c r="R7" i="9" s="1"/>
  <c r="S7" i="9" s="1"/>
  <c r="T7" i="9" s="1"/>
  <c r="U7" i="9" s="1"/>
  <c r="V7" i="9" s="1"/>
  <c r="W7" i="9" s="1"/>
  <c r="X7" i="9" s="1"/>
  <c r="Y7" i="9" s="1"/>
  <c r="Z7" i="9" s="1"/>
  <c r="AA7" i="9" s="1"/>
  <c r="B17" i="9" l="1"/>
  <c r="C17" i="9" s="1"/>
  <c r="D17" i="9" s="1"/>
  <c r="E17" i="9" s="1"/>
  <c r="F17" i="9" s="1"/>
  <c r="G17" i="9" s="1"/>
  <c r="H17" i="9" s="1"/>
  <c r="I17" i="9" s="1"/>
  <c r="J17" i="9" s="1"/>
  <c r="K17" i="9" s="1"/>
  <c r="L17" i="9" s="1"/>
  <c r="M17" i="9" s="1"/>
  <c r="N17" i="9" s="1"/>
  <c r="O17" i="9" s="1"/>
  <c r="P17" i="9" s="1"/>
  <c r="Q17" i="9" s="1"/>
  <c r="R17" i="9" s="1"/>
  <c r="S17" i="9" s="1"/>
  <c r="T17" i="9" s="1"/>
  <c r="U17" i="9" s="1"/>
  <c r="V17" i="9" s="1"/>
  <c r="W17" i="9" s="1"/>
  <c r="X17" i="9" s="1"/>
  <c r="Y17" i="9" s="1"/>
  <c r="Z17" i="9" s="1"/>
  <c r="I19" i="33" l="1"/>
  <c r="J19" i="33" s="1"/>
</calcChain>
</file>

<file path=xl/sharedStrings.xml><?xml version="1.0" encoding="utf-8"?>
<sst xmlns="http://schemas.openxmlformats.org/spreadsheetml/2006/main" count="758" uniqueCount="188">
  <si>
    <t>CCRA:</t>
  </si>
  <si>
    <t>Date:</t>
  </si>
  <si>
    <t>True – Up:</t>
  </si>
  <si>
    <t>Customer Name:</t>
  </si>
  <si>
    <t>Customer</t>
  </si>
  <si>
    <t>Period</t>
  </si>
  <si>
    <t>Year</t>
  </si>
  <si>
    <t>Month</t>
  </si>
  <si>
    <t>LDC Peak [MW]</t>
  </si>
  <si>
    <t>Period 1</t>
  </si>
  <si>
    <t>LDC System Peak</t>
  </si>
  <si>
    <t>Requirement</t>
  </si>
  <si>
    <t>Link</t>
  </si>
  <si>
    <t>Study/Audit</t>
  </si>
  <si>
    <t>CDM/DG Guidelines: Page 4</t>
  </si>
  <si>
    <t>LDC Peak</t>
  </si>
  <si>
    <t>Templated, see applicable tab</t>
  </si>
  <si>
    <t>RFS Date</t>
  </si>
  <si>
    <t>TOU Meter Installation (% of total customers)</t>
  </si>
  <si>
    <t>Yes</t>
  </si>
  <si>
    <t>No</t>
  </si>
  <si>
    <t>TOU Billing 
(% of total customers)</t>
  </si>
  <si>
    <t>TOU</t>
  </si>
  <si>
    <t>Item</t>
  </si>
  <si>
    <t>Description</t>
  </si>
  <si>
    <t>TOU Savings</t>
  </si>
  <si>
    <t>Customer Submission:</t>
  </si>
  <si>
    <t>Period 2</t>
  </si>
  <si>
    <t>Period 3</t>
  </si>
  <si>
    <t>Period 4</t>
  </si>
  <si>
    <t>Period 5</t>
  </si>
  <si>
    <t>Per section 1 of the CDM/DG Guidelines, Hydro One uses your total LDC Peak Load to allocate your overall CDM savings to the true-up study area. Please provide your total system peak on a monthly basis for the years listed below.</t>
  </si>
  <si>
    <t>Provided? (Y/N)</t>
  </si>
  <si>
    <t>Calendar year</t>
  </si>
  <si>
    <t>Period start</t>
  </si>
  <si>
    <t>Period end</t>
  </si>
  <si>
    <t>Updated Load Forecast</t>
  </si>
  <si>
    <t>Table 2 - Example:</t>
  </si>
  <si>
    <t>Usually, smart meters are installed over several years.  Some utilities switch to TOU billing as soon as the meters are installed and some – after all meters are installed.
In order to include TOU credits in the true-up calculation, we need smart meter installations per year (% or the total customers), and customers moved to TOU billing per year (% of total customers).  Please fill out the cells in blue below.
Example (see table 2) - For Customer A, meters were installed in batches starting in 2005, however, they only moved customers to TOU billing starting in 2008.  In 2008, they had 46% of customers on TOU billing, in 2009 – 82%, and in 2010 – 89%... etc.</t>
  </si>
  <si>
    <t>Customer Forecast</t>
  </si>
  <si>
    <r>
      <t>At each true-up point you have an opportunity to update your load forecast. Please update the cells highlighted in blue below with your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u/>
        <sz val="12"/>
        <color theme="1"/>
        <rFont val="Calibri"/>
        <family val="2"/>
        <scheme val="minor"/>
      </rPr>
      <t>forecasted annual peak</t>
    </r>
    <r>
      <rPr>
        <u/>
        <sz val="12"/>
        <color theme="1"/>
        <rFont val="Calibri"/>
        <family val="2"/>
        <scheme val="minor"/>
      </rPr>
      <t>*.</t>
    </r>
  </si>
  <si>
    <t>Ready For Service (RFS) Date</t>
  </si>
  <si>
    <r>
      <t xml:space="preserve">IESO Industrial Conservation Initiative (ICI) Program:  Detailed third party verified documentation, i.e. study or audit. </t>
    </r>
    <r>
      <rPr>
        <sz val="11"/>
        <color rgb="FFFF0000"/>
        <rFont val="Calibri"/>
        <family val="2"/>
        <scheme val="minor"/>
      </rPr>
      <t>- Complete only if applicable</t>
    </r>
  </si>
  <si>
    <r>
      <t xml:space="preserve">IESO Dispatchable Load (DL) Savings: Detailed third party verified documentation, i.e. study or audit. </t>
    </r>
    <r>
      <rPr>
        <sz val="11"/>
        <color rgb="FFFF0000"/>
        <rFont val="Calibri"/>
        <family val="2"/>
        <scheme val="minor"/>
      </rPr>
      <t>- Complete only if applicable</t>
    </r>
  </si>
  <si>
    <t>The customer’s total peak load (as per the CDM/DG Guidelines)</t>
  </si>
  <si>
    <t>Forecast peak load of customer at connection facility</t>
  </si>
  <si>
    <t>General Information</t>
  </si>
  <si>
    <t>DG meter readings for each month of the CCRA True-Up period coinciding with the CCRA monthly peak load.</t>
  </si>
  <si>
    <t>Original Ontario Power Authority/IESO reports (preferably the excel version) and/or Detailed third party verified documentation of CDM Results, i.e. study or audit.</t>
  </si>
  <si>
    <t>OPA/IESO CDM Reports</t>
  </si>
  <si>
    <t xml:space="preserve">Time of Use (TOU) Percentage: TOU installment dates </t>
  </si>
  <si>
    <t>Template (see tab)</t>
  </si>
  <si>
    <r>
      <t xml:space="preserve">DG without interval meter reading: internal study certified by an officer of the company OR third party validation documentation, i.e. study or audit. </t>
    </r>
    <r>
      <rPr>
        <sz val="11"/>
        <color rgb="FFFF0000"/>
        <rFont val="Calibri"/>
        <family val="2"/>
        <scheme val="minor"/>
      </rPr>
      <t>- Complete only if applicable</t>
    </r>
  </si>
  <si>
    <t>Period 6</t>
  </si>
  <si>
    <t xml:space="preserve">Customer: </t>
  </si>
  <si>
    <t>Report Date:</t>
  </si>
  <si>
    <t>Rate</t>
  </si>
  <si>
    <t>Agreement:</t>
  </si>
  <si>
    <t>CRM Agreement ID:</t>
  </si>
  <si>
    <t>In-Service Month:</t>
  </si>
  <si>
    <t>Prepared By:</t>
  </si>
  <si>
    <t>Report Period:</t>
  </si>
  <si>
    <t>Reviewed By:</t>
  </si>
  <si>
    <r>
      <rPr>
        <b/>
        <i/>
        <u/>
        <sz val="12"/>
        <color indexed="10"/>
        <rFont val="Calibri"/>
        <family val="2"/>
      </rPr>
      <t>Draft</t>
    </r>
    <r>
      <rPr>
        <b/>
        <sz val="12"/>
        <rFont val="Calibri"/>
        <family val="2"/>
      </rPr>
      <t xml:space="preserve"> True-up Calculation Input Summary (Transformation Connection Pool)</t>
    </r>
  </si>
  <si>
    <r>
      <rPr>
        <b/>
        <i/>
        <u/>
        <sz val="12"/>
        <color indexed="10"/>
        <rFont val="Calibri"/>
        <family val="2"/>
      </rPr>
      <t>Draft</t>
    </r>
    <r>
      <rPr>
        <b/>
        <sz val="12"/>
        <rFont val="Calibri"/>
        <family val="2"/>
      </rPr>
      <t xml:space="preserve"> Performance</t>
    </r>
  </si>
  <si>
    <t>Project Year</t>
  </si>
  <si>
    <t>Calendar Year</t>
  </si>
  <si>
    <t>Period Start</t>
  </si>
  <si>
    <t>Period End</t>
  </si>
  <si>
    <t>Actual [A] / Forecast [F] Load Data</t>
  </si>
  <si>
    <t>Revised DCF Load Profile</t>
  </si>
  <si>
    <t>Previous DCF Load Profile</t>
  </si>
  <si>
    <t>Actual Load Data</t>
  </si>
  <si>
    <t>A</t>
  </si>
  <si>
    <t xml:space="preserve">5 Yr </t>
  </si>
  <si>
    <t xml:space="preserve">10 Yr </t>
  </si>
  <si>
    <t>15 Yr</t>
  </si>
  <si>
    <t>PLI</t>
  </si>
  <si>
    <t>Charge Type</t>
  </si>
  <si>
    <t>10th Anniversary</t>
  </si>
  <si>
    <t>Holland Transformer Station</t>
  </si>
  <si>
    <r>
      <t xml:space="preserve">Previous Evaluation Load Profile </t>
    </r>
    <r>
      <rPr>
        <vertAlign val="superscript"/>
        <sz val="10"/>
        <rFont val="Calibri"/>
        <family val="2"/>
      </rPr>
      <t>5</t>
    </r>
  </si>
  <si>
    <r>
      <t xml:space="preserve">Period </t>
    </r>
    <r>
      <rPr>
        <sz val="10"/>
        <color indexed="8"/>
        <rFont val="Calibri"/>
        <family val="2"/>
      </rPr>
      <t>Load</t>
    </r>
    <r>
      <rPr>
        <sz val="10"/>
        <color indexed="17"/>
        <rFont val="Calibri"/>
        <family val="2"/>
      </rPr>
      <t xml:space="preserve"> </t>
    </r>
    <r>
      <rPr>
        <sz val="10"/>
        <rFont val="Calibri"/>
        <family val="2"/>
      </rPr>
      <t>Surplus</t>
    </r>
    <r>
      <rPr>
        <sz val="10"/>
        <color indexed="17"/>
        <rFont val="Calibri"/>
        <family val="2"/>
      </rPr>
      <t xml:space="preserve"> </t>
    </r>
    <r>
      <rPr>
        <sz val="10"/>
        <rFont val="Calibri"/>
        <family val="2"/>
      </rPr>
      <t xml:space="preserve">/ </t>
    </r>
    <r>
      <rPr>
        <sz val="10"/>
        <color indexed="10"/>
        <rFont val="Calibri"/>
        <family val="2"/>
      </rPr>
      <t>(Shortfall)</t>
    </r>
    <r>
      <rPr>
        <sz val="10"/>
        <rFont val="Calibri"/>
        <family val="2"/>
      </rPr>
      <t xml:space="preserve"> </t>
    </r>
    <r>
      <rPr>
        <vertAlign val="superscript"/>
        <sz val="10"/>
        <rFont val="Calibri"/>
        <family val="2"/>
      </rPr>
      <t>5</t>
    </r>
  </si>
  <si>
    <r>
      <t>Period Gross Revenue</t>
    </r>
    <r>
      <rPr>
        <sz val="10"/>
        <color indexed="17"/>
        <rFont val="Calibri"/>
        <family val="2"/>
      </rPr>
      <t xml:space="preserve"> </t>
    </r>
    <r>
      <rPr>
        <sz val="10"/>
        <rFont val="Calibri"/>
        <family val="2"/>
      </rPr>
      <t>Surplus</t>
    </r>
    <r>
      <rPr>
        <sz val="10"/>
        <color indexed="17"/>
        <rFont val="Calibri"/>
        <family val="2"/>
      </rPr>
      <t xml:space="preserve"> </t>
    </r>
    <r>
      <rPr>
        <sz val="10"/>
        <rFont val="Calibri"/>
        <family val="2"/>
      </rPr>
      <t xml:space="preserve">/ </t>
    </r>
    <r>
      <rPr>
        <sz val="10"/>
        <color indexed="10"/>
        <rFont val="Calibri"/>
        <family val="2"/>
      </rPr>
      <t>(Shortfall)</t>
    </r>
    <r>
      <rPr>
        <sz val="10"/>
        <rFont val="Calibri"/>
        <family val="2"/>
      </rPr>
      <t xml:space="preserve"> 
(in '000s)</t>
    </r>
    <r>
      <rPr>
        <vertAlign val="superscript"/>
        <sz val="10"/>
        <rFont val="Calibri"/>
        <family val="2"/>
      </rPr>
      <t xml:space="preserve"> 6</t>
    </r>
  </si>
  <si>
    <t>Revised Forecast</t>
  </si>
  <si>
    <t>May '09</t>
  </si>
  <si>
    <t>April '10</t>
  </si>
  <si>
    <t>May '10</t>
  </si>
  <si>
    <t>April '11</t>
  </si>
  <si>
    <t>May '11</t>
  </si>
  <si>
    <t>April '12</t>
  </si>
  <si>
    <t>May '12</t>
  </si>
  <si>
    <t>April '13</t>
  </si>
  <si>
    <t>May '13</t>
  </si>
  <si>
    <t>April '14</t>
  </si>
  <si>
    <t>May '14</t>
  </si>
  <si>
    <t>April '15</t>
  </si>
  <si>
    <t>May '15</t>
  </si>
  <si>
    <t>April '16</t>
  </si>
  <si>
    <t>May '16</t>
  </si>
  <si>
    <t>April '17</t>
  </si>
  <si>
    <t>May '17</t>
  </si>
  <si>
    <t>April '18</t>
  </si>
  <si>
    <t>May '18</t>
  </si>
  <si>
    <t>April '19</t>
  </si>
  <si>
    <t>May '19</t>
  </si>
  <si>
    <t>April '20</t>
  </si>
  <si>
    <t>May '20</t>
  </si>
  <si>
    <t>April '21</t>
  </si>
  <si>
    <t>May '21</t>
  </si>
  <si>
    <t>April '22</t>
  </si>
  <si>
    <t>May '22</t>
  </si>
  <si>
    <t>April '23</t>
  </si>
  <si>
    <t>May '23</t>
  </si>
  <si>
    <t>April '24</t>
  </si>
  <si>
    <t>May '24</t>
  </si>
  <si>
    <t>April '25</t>
  </si>
  <si>
    <t>May '25</t>
  </si>
  <si>
    <t>April '26</t>
  </si>
  <si>
    <t>May '26</t>
  </si>
  <si>
    <t>April '27</t>
  </si>
  <si>
    <t>May '27</t>
  </si>
  <si>
    <t>April '28</t>
  </si>
  <si>
    <t>May '28</t>
  </si>
  <si>
    <t>April '29</t>
  </si>
  <si>
    <t>May '29</t>
  </si>
  <si>
    <t>April '30</t>
  </si>
  <si>
    <t>May '30</t>
  </si>
  <si>
    <t>April '31</t>
  </si>
  <si>
    <t>May '31</t>
  </si>
  <si>
    <t>April '32</t>
  </si>
  <si>
    <t>May '32</t>
  </si>
  <si>
    <t>April '33</t>
  </si>
  <si>
    <t>May '33</t>
  </si>
  <si>
    <t>April '34</t>
  </si>
  <si>
    <t>Period 7</t>
  </si>
  <si>
    <t>Period 8</t>
  </si>
  <si>
    <t>Period 9</t>
  </si>
  <si>
    <t>Period 10</t>
  </si>
  <si>
    <t xml:space="preserve"> </t>
  </si>
  <si>
    <t>Armitage TS</t>
  </si>
  <si>
    <t xml:space="preserve">Period 9 </t>
  </si>
  <si>
    <t>Holland TS</t>
  </si>
  <si>
    <t xml:space="preserve">Period 0 </t>
  </si>
  <si>
    <t>Peirod 1</t>
  </si>
  <si>
    <t>DG Peak (Armitage TS - Tx)</t>
  </si>
  <si>
    <t>Newmarket-Tay Power Distribution Ltd.</t>
  </si>
  <si>
    <r>
      <t xml:space="preserve">Avg. monthly </t>
    </r>
    <r>
      <rPr>
        <b/>
        <sz val="10"/>
        <rFont val="Calibri"/>
        <family val="2"/>
      </rPr>
      <t>new load</t>
    </r>
    <r>
      <rPr>
        <sz val="10"/>
        <rFont val="Calibri"/>
        <family val="2"/>
      </rPr>
      <t xml:space="preserve"> served by the new connection facility </t>
    </r>
    <r>
      <rPr>
        <vertAlign val="superscript"/>
        <sz val="10"/>
        <rFont val="Calibri"/>
        <family val="2"/>
      </rPr>
      <t>1</t>
    </r>
  </si>
  <si>
    <r>
      <t>Avg. monthly</t>
    </r>
    <r>
      <rPr>
        <b/>
        <sz val="10"/>
        <rFont val="Calibri"/>
        <family val="2"/>
      </rPr>
      <t xml:space="preserve"> unused capacity</t>
    </r>
    <r>
      <rPr>
        <sz val="10"/>
        <rFont val="Calibri"/>
        <family val="2"/>
      </rPr>
      <t xml:space="preserve"> of existing connection facilities </t>
    </r>
    <r>
      <rPr>
        <vertAlign val="superscript"/>
        <sz val="10"/>
        <rFont val="Calibri"/>
        <family val="2"/>
      </rPr>
      <t>2</t>
    </r>
  </si>
  <si>
    <r>
      <t>'</t>
    </r>
    <r>
      <rPr>
        <b/>
        <sz val="10"/>
        <rFont val="Calibri"/>
        <family val="2"/>
      </rPr>
      <t>New load</t>
    </r>
    <r>
      <rPr>
        <sz val="10"/>
        <rFont val="Calibri"/>
        <family val="2"/>
      </rPr>
      <t xml:space="preserve">' eligible for use in true-up calculation [Mw] </t>
    </r>
    <r>
      <rPr>
        <vertAlign val="superscript"/>
        <sz val="10"/>
        <rFont val="Calibri"/>
        <family val="2"/>
      </rPr>
      <t>3</t>
    </r>
  </si>
  <si>
    <t>Period Gross Revenue from 'New' Load (in '000s) 4</t>
  </si>
  <si>
    <t>F (O)</t>
  </si>
  <si>
    <t>April '35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</si>
  <si>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Please refer to accompanying page/file which contains monthly non-coincident peak load values.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</si>
  <si>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The peak load index (PLI) and normal supply capacities of existing facilities can be found in the CCRA.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</si>
  <si>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Customer's new load at the new/modifed connection facility that exceeds the normal supply capacity of connection facilities already serving that customer </t>
    </r>
  </si>
  <si>
    <r>
      <rPr>
        <vertAlign val="superscript"/>
        <sz val="9"/>
        <rFont val="Calibri"/>
        <family val="2"/>
      </rPr>
      <t>4</t>
    </r>
    <r>
      <rPr>
        <sz val="9"/>
        <rFont val="Calibri"/>
        <family val="2"/>
      </rPr>
      <t xml:space="preserve"> Equals period 'new' load * $1.61/Kw rate * 12 months * 1,000 (convert Kw rate to Mw).  Rate is frozen to reconcile with the original economic evaluation.</t>
    </r>
  </si>
  <si>
    <r>
      <rPr>
        <vertAlign val="superscript"/>
        <sz val="9"/>
        <rFont val="Calibri"/>
        <family val="2"/>
      </rPr>
      <t>5</t>
    </r>
    <r>
      <rPr>
        <sz val="9"/>
        <rFont val="Calibri"/>
        <family val="2"/>
      </rPr>
      <t xml:space="preserve"> Load suplus/shortfall compares the actual/forecast incremental loads to those used in the initial economic evaluation.</t>
    </r>
  </si>
  <si>
    <r>
      <rPr>
        <vertAlign val="superscript"/>
        <sz val="9"/>
        <rFont val="Calibri"/>
        <family val="2"/>
      </rPr>
      <t>6</t>
    </r>
    <r>
      <rPr>
        <sz val="9"/>
        <rFont val="Calibri"/>
        <family val="2"/>
      </rPr>
      <t xml:space="preserve"> Comparison of computed approximation of period gross revenue, based on the updated load profile, to values in the initial economic evaluation.</t>
    </r>
  </si>
  <si>
    <r>
      <t>Holland TS</t>
    </r>
    <r>
      <rPr>
        <sz val="9"/>
        <color indexed="8"/>
        <rFont val="Calibri"/>
        <family val="2"/>
      </rPr>
      <t xml:space="preserve">
 non-coincident peak [MW]
[DP </t>
    </r>
    <r>
      <rPr>
        <sz val="9"/>
        <color indexed="10"/>
        <rFont val="Calibri"/>
        <family val="2"/>
      </rPr>
      <t>109679]</t>
    </r>
  </si>
  <si>
    <r>
      <t>Armitage TS</t>
    </r>
    <r>
      <rPr>
        <sz val="9"/>
        <color indexed="8"/>
        <rFont val="Calibri"/>
        <family val="2"/>
      </rPr>
      <t xml:space="preserve">
 non-coincident peak [MW]
[DP </t>
    </r>
    <r>
      <rPr>
        <sz val="9"/>
        <color indexed="10"/>
        <rFont val="Calibri"/>
        <family val="2"/>
      </rPr>
      <t>103379]</t>
    </r>
  </si>
  <si>
    <t>Transmission Transformation Connection Charge</t>
  </si>
  <si>
    <r>
      <rPr>
        <sz val="9"/>
        <color indexed="8"/>
        <rFont val="Calibri"/>
        <family val="2"/>
      </rPr>
      <t>Underload at Armitage TS</t>
    </r>
  </si>
  <si>
    <r>
      <rPr>
        <sz val="9"/>
        <color indexed="8"/>
        <rFont val="Calibri"/>
        <family val="2"/>
      </rPr>
      <t>Existing Load: PLI adjusted normal capacity [MW]</t>
    </r>
  </si>
  <si>
    <r>
      <rPr>
        <sz val="9"/>
        <color indexed="8"/>
        <rFont val="Calibri"/>
        <family val="2"/>
      </rPr>
      <t>Total Load: Period Avg. non-coincident peak [MW]</t>
    </r>
  </si>
  <si>
    <r>
      <rPr>
        <sz val="9"/>
        <color indexed="8"/>
        <rFont val="Calibri"/>
        <family val="2"/>
      </rPr>
      <t xml:space="preserve">New Load at Holland TS </t>
    </r>
  </si>
  <si>
    <t xml:space="preserve">Existing Load: PLI adjusted normal capacity [MW] </t>
  </si>
  <si>
    <r>
      <rPr>
        <sz val="9"/>
        <color indexed="8"/>
        <rFont val="Calibri"/>
        <family val="2"/>
      </rPr>
      <t xml:space="preserve">Total Load: Period Avg. non-coincident peak [MW] </t>
    </r>
  </si>
  <si>
    <r>
      <t xml:space="preserve">'New' Load for CCRA True-up [Mw] </t>
    </r>
    <r>
      <rPr>
        <vertAlign val="superscript"/>
        <sz val="9"/>
        <color indexed="8"/>
        <rFont val="Calibri"/>
        <family val="2"/>
      </rPr>
      <t>4</t>
    </r>
  </si>
  <si>
    <t>Unused capacity at connection facilities already serving the customer</t>
  </si>
  <si>
    <t>New load at the new/modified facility</t>
  </si>
  <si>
    <t>Armitage TS         
DG @ peak [MW]</t>
  </si>
  <si>
    <t>Armitage TS        
CDM @ peak [MW]</t>
  </si>
  <si>
    <t>Armitage TS     
"Net" annual peak [MW]</t>
  </si>
  <si>
    <t>Armitage TS       
"Gross" annual peak [MW]</t>
  </si>
  <si>
    <t xml:space="preserve">Newmarket - Tay Power Distribution Ltd </t>
  </si>
  <si>
    <t>Holland TS
"Net" annual peak [MW]</t>
  </si>
  <si>
    <t>Holland TS
CDM @ peak [MW]</t>
  </si>
  <si>
    <t>Holland TS
DG @ peak [MW]</t>
  </si>
  <si>
    <t>Holland TS
"Gross" annual peak [MW]</t>
  </si>
  <si>
    <t>Armitage TS       
PLI Adjusted    "Gross" annual peak [MW]</t>
  </si>
  <si>
    <t>Armitage TS PLI adjusted normal capacity [MW]</t>
  </si>
  <si>
    <t>Holland TS       
PLI Adjusted    "Gross" annual peak [MW]</t>
  </si>
  <si>
    <t>Underload at Armitage TS</t>
  </si>
  <si>
    <t>Holland TS PLI Adjusted "Gross" annual peak [MW]</t>
  </si>
  <si>
    <r>
      <rPr>
        <b/>
        <sz val="10"/>
        <rFont val="Calibri"/>
        <family val="2"/>
      </rPr>
      <t>Total Load: Period Avg. Peak Load [MW]</t>
    </r>
  </si>
  <si>
    <t>DG Peak (Holland TS - Tx)</t>
  </si>
  <si>
    <t>Period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</si>
</sst>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"/>
    <numFmt numFmtId="169" formatCode="0.0"/>
    <numFmt numFmtId="170" formatCode="&quot;$&quot;#,##0.0_);[Red]\(&quot;$&quot;#,##0.0\)"/>
    <numFmt numFmtId="171" formatCode="0.000"/>
    <numFmt numFmtId="172" formatCode="0.00_);[Red]\(0.00\)"/>
    <numFmt numFmtId="173" formatCode="#,##0.0_);[Red]\(#,##0.0\)"/>
  </numFmts>
  <fonts count="7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  <family val="2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"/>
      <name val="Calibri"/>
      <family val="2"/>
    </font>
    <font>
      <sz val="7"/>
      <name val="Helv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0"/>
      <name val="MS Sans Serif"/>
      <family val="2"/>
    </font>
    <font>
      <sz val="9"/>
      <name val="Calibri"/>
      <family val="2"/>
      <scheme val="minor"/>
    </font>
    <font>
      <sz val="10"/>
      <name val="MS Sans Serif"/>
      <family val="2"/>
    </font>
    <font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name val="Calibri"/>
      <family val="2"/>
    </font>
    <font>
      <b/>
      <i/>
      <u/>
      <sz val="12"/>
      <color indexed="10"/>
      <name val="Calibri"/>
      <family val="2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</font>
    <font>
      <i/>
      <sz val="10"/>
      <name val="Calibri"/>
      <family val="2"/>
      <scheme val="minor"/>
    </font>
    <font>
      <b/>
      <sz val="10"/>
      <color rgb="FF008000"/>
      <name val="Calibri"/>
      <family val="2"/>
      <scheme val="minor"/>
    </font>
    <font>
      <sz val="9"/>
      <name val="Calibri"/>
      <family val="2"/>
    </font>
    <font>
      <vertAlign val="superscript"/>
      <sz val="9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vertAlign val="superscript"/>
      <sz val="10"/>
      <name val="Calibri"/>
      <family val="2"/>
    </font>
    <font>
      <sz val="10"/>
      <color indexed="8"/>
      <name val="Calibri"/>
      <family val="2"/>
    </font>
    <font>
      <sz val="10"/>
      <color indexed="17"/>
      <name val="Calibri"/>
      <family val="2"/>
    </font>
    <font>
      <sz val="10"/>
      <color indexed="10"/>
      <name val="Calibri"/>
      <family val="2"/>
    </font>
    <font>
      <sz val="11"/>
      <name val="Helv"/>
    </font>
    <font>
      <sz val="8"/>
      <color theme="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</font>
    <font>
      <sz val="9"/>
      <color indexed="10"/>
      <name val="Calibri"/>
      <family val="2"/>
    </font>
    <font>
      <sz val="10"/>
      <color theme="3" tint="-0.499984740745262"/>
      <name val="Calibri"/>
      <family val="2"/>
      <scheme val="minor"/>
    </font>
    <font>
      <sz val="9"/>
      <color theme="1"/>
      <name val="Calibri"/>
      <family val="2"/>
    </font>
    <font>
      <vertAlign val="superscript"/>
      <sz val="9"/>
      <color indexed="8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</borders>
  <cellStyleXfs count="85">
    <xf numFmtId="0" fontId="0" fillId="0" borderId="0"/>
    <xf numFmtId="0" fontId="2" fillId="0" borderId="0" applyNumberFormat="0" applyFill="0" applyBorder="0" applyAlignment="0" applyProtection="0"/>
    <xf numFmtId="0" fontId="5" fillId="0" borderId="0"/>
    <xf numFmtId="9" fontId="13" fillId="0" borderId="0" applyFont="0" applyFill="0" applyBorder="0" applyAlignment="0" applyProtection="0"/>
    <xf numFmtId="0" fontId="5" fillId="0" borderId="0"/>
    <xf numFmtId="0" fontId="17" fillId="0" borderId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21" borderId="0" applyNumberFormat="0" applyBorder="0" applyAlignment="0" applyProtection="0"/>
    <xf numFmtId="0" fontId="21" fillId="5" borderId="0" applyNumberFormat="0" applyBorder="0" applyAlignment="0" applyProtection="0"/>
    <xf numFmtId="0" fontId="22" fillId="22" borderId="13" applyNumberFormat="0" applyAlignment="0" applyProtection="0"/>
    <xf numFmtId="0" fontId="23" fillId="23" borderId="14" applyNumberFormat="0" applyAlignment="0" applyProtection="0"/>
    <xf numFmtId="16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26" fillId="0" borderId="15" applyNumberFormat="0" applyFill="0" applyAlignment="0" applyProtection="0"/>
    <xf numFmtId="0" fontId="27" fillId="0" borderId="16" applyNumberFormat="0" applyFill="0" applyAlignment="0" applyProtection="0"/>
    <xf numFmtId="0" fontId="28" fillId="0" borderId="17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9" borderId="13" applyNumberFormat="0" applyAlignment="0" applyProtection="0"/>
    <xf numFmtId="0" fontId="31" fillId="0" borderId="18" applyNumberFormat="0" applyFill="0" applyAlignment="0" applyProtection="0"/>
    <xf numFmtId="0" fontId="32" fillId="24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33" fillId="25" borderId="19" applyNumberFormat="0" applyFont="0" applyAlignment="0" applyProtection="0"/>
    <xf numFmtId="0" fontId="34" fillId="22" borderId="20" applyNumberFormat="0" applyAlignment="0" applyProtection="0"/>
    <xf numFmtId="9" fontId="18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1" applyNumberFormat="0" applyFill="0" applyAlignment="0" applyProtection="0"/>
    <xf numFmtId="0" fontId="37" fillId="0" borderId="0" applyNumberFormat="0" applyFill="0" applyBorder="0" applyAlignment="0" applyProtection="0"/>
    <xf numFmtId="0" fontId="5" fillId="0" borderId="0"/>
    <xf numFmtId="0" fontId="43" fillId="0" borderId="0"/>
    <xf numFmtId="0" fontId="45" fillId="0" borderId="0"/>
    <xf numFmtId="0" fontId="18" fillId="0" borderId="0"/>
    <xf numFmtId="0" fontId="57" fillId="0" borderId="0"/>
    <xf numFmtId="0" fontId="13" fillId="0" borderId="0"/>
    <xf numFmtId="0" fontId="5" fillId="0" borderId="0"/>
    <xf numFmtId="0" fontId="57" fillId="0" borderId="0"/>
    <xf numFmtId="165" fontId="5" fillId="0" borderId="0" applyFont="0" applyFill="0" applyBorder="0" applyAlignment="0" applyProtection="0"/>
    <xf numFmtId="0" fontId="19" fillId="25" borderId="19" applyNumberFormat="0" applyFont="0" applyAlignment="0" applyProtection="0"/>
    <xf numFmtId="0" fontId="58" fillId="0" borderId="0"/>
    <xf numFmtId="0" fontId="18" fillId="0" borderId="0"/>
    <xf numFmtId="0" fontId="5" fillId="0" borderId="0"/>
    <xf numFmtId="0" fontId="17" fillId="0" borderId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5" fillId="0" borderId="0"/>
    <xf numFmtId="0" fontId="66" fillId="0" borderId="0"/>
    <xf numFmtId="0" fontId="18" fillId="0" borderId="0"/>
    <xf numFmtId="0" fontId="18" fillId="0" borderId="0"/>
    <xf numFmtId="0" fontId="13" fillId="0" borderId="0"/>
    <xf numFmtId="0" fontId="73" fillId="0" borderId="0"/>
    <xf numFmtId="0" fontId="74" fillId="0" borderId="0"/>
  </cellStyleXfs>
  <cellXfs count="185">
    <xf numFmtId="0" fontId="0" fillId="0" borderId="0" xfId="0"/>
    <xf numFmtId="0" fontId="0" fillId="0" borderId="2" xfId="0" applyBorder="1"/>
    <xf numFmtId="0" fontId="1" fillId="0" borderId="0" xfId="0" applyFont="1" applyBorder="1" applyAlignment="1">
      <alignment horizontal="right" vertical="center"/>
    </xf>
    <xf numFmtId="0" fontId="0" fillId="0" borderId="0" xfId="0" applyBorder="1"/>
    <xf numFmtId="0" fontId="10" fillId="0" borderId="0" xfId="0" applyFont="1"/>
    <xf numFmtId="0" fontId="2" fillId="0" borderId="0" xfId="1"/>
    <xf numFmtId="0" fontId="12" fillId="0" borderId="0" xfId="0" applyFont="1" applyAlignment="1">
      <alignment horizontal="left" vertical="center" wrapText="1"/>
    </xf>
    <xf numFmtId="0" fontId="1" fillId="0" borderId="2" xfId="0" applyFont="1" applyBorder="1"/>
    <xf numFmtId="0" fontId="0" fillId="0" borderId="2" xfId="0" applyBorder="1" applyAlignment="1">
      <alignment vertical="center" wrapText="1"/>
    </xf>
    <xf numFmtId="0" fontId="2" fillId="0" borderId="2" xfId="1" applyBorder="1" applyAlignment="1">
      <alignment vertical="center"/>
    </xf>
    <xf numFmtId="0" fontId="1" fillId="0" borderId="2" xfId="0" applyFont="1" applyFill="1" applyBorder="1"/>
    <xf numFmtId="0" fontId="0" fillId="0" borderId="2" xfId="0" applyBorder="1" applyAlignment="1">
      <alignment horizontal="center"/>
    </xf>
    <xf numFmtId="0" fontId="14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0" fillId="0" borderId="6" xfId="0" applyBorder="1"/>
    <xf numFmtId="14" fontId="0" fillId="0" borderId="0" xfId="0" applyNumberFormat="1" applyBorder="1"/>
    <xf numFmtId="0" fontId="0" fillId="0" borderId="7" xfId="0" applyBorder="1"/>
    <xf numFmtId="0" fontId="0" fillId="0" borderId="6" xfId="0" applyBorder="1" applyAlignment="1">
      <alignment wrapText="1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wrapText="1"/>
    </xf>
    <xf numFmtId="9" fontId="0" fillId="0" borderId="0" xfId="3" applyFont="1" applyBorder="1"/>
    <xf numFmtId="9" fontId="0" fillId="0" borderId="0" xfId="3" applyFont="1" applyFill="1" applyBorder="1"/>
    <xf numFmtId="9" fontId="9" fillId="0" borderId="9" xfId="3" applyFont="1" applyBorder="1"/>
    <xf numFmtId="9" fontId="0" fillId="0" borderId="7" xfId="3" applyFont="1" applyFill="1" applyBorder="1"/>
    <xf numFmtId="9" fontId="9" fillId="0" borderId="10" xfId="3" applyFont="1" applyBorder="1"/>
    <xf numFmtId="14" fontId="0" fillId="0" borderId="2" xfId="0" applyNumberFormat="1" applyBorder="1" applyAlignment="1">
      <alignment horizontal="center"/>
    </xf>
    <xf numFmtId="0" fontId="2" fillId="0" borderId="2" xfId="1" applyBorder="1" applyAlignment="1">
      <alignment horizontal="center" vertical="center"/>
    </xf>
    <xf numFmtId="0" fontId="38" fillId="0" borderId="0" xfId="0" applyFont="1"/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2" fillId="0" borderId="2" xfId="1" applyBorder="1" applyAlignment="1">
      <alignment horizontal="center" vertical="center" wrapText="1"/>
    </xf>
    <xf numFmtId="0" fontId="2" fillId="0" borderId="2" xfId="1" quotePrefix="1" applyBorder="1" applyAlignment="1">
      <alignment horizontal="center" vertical="center"/>
    </xf>
    <xf numFmtId="0" fontId="0" fillId="0" borderId="0" xfId="0" applyFill="1" applyBorder="1"/>
    <xf numFmtId="0" fontId="0" fillId="0" borderId="2" xfId="0" applyBorder="1" applyAlignment="1">
      <alignment vertical="center" wrapText="1"/>
    </xf>
    <xf numFmtId="168" fontId="16" fillId="2" borderId="3" xfId="4" applyNumberFormat="1" applyFont="1" applyFill="1" applyBorder="1" applyAlignment="1">
      <alignment horizontal="center" wrapText="1"/>
    </xf>
    <xf numFmtId="0" fontId="6" fillId="2" borderId="0" xfId="4" applyFont="1" applyFill="1"/>
    <xf numFmtId="0" fontId="44" fillId="2" borderId="0" xfId="4" applyFont="1" applyFill="1"/>
    <xf numFmtId="0" fontId="6" fillId="2" borderId="0" xfId="4" applyFont="1" applyFill="1" applyAlignment="1">
      <alignment horizontal="center"/>
    </xf>
    <xf numFmtId="170" fontId="6" fillId="2" borderId="3" xfId="64" applyNumberFormat="1" applyFont="1" applyFill="1" applyBorder="1" applyAlignment="1">
      <alignment horizontal="center" vertical="center"/>
    </xf>
    <xf numFmtId="171" fontId="6" fillId="2" borderId="0" xfId="64" applyNumberFormat="1" applyFont="1" applyFill="1" applyBorder="1" applyAlignment="1">
      <alignment horizontal="center" vertical="center"/>
    </xf>
    <xf numFmtId="0" fontId="55" fillId="2" borderId="0" xfId="4" applyFont="1" applyFill="1" applyBorder="1" applyAlignment="1">
      <alignment horizontal="left"/>
    </xf>
    <xf numFmtId="0" fontId="6" fillId="2" borderId="0" xfId="4" applyFont="1" applyFill="1" applyBorder="1" applyAlignment="1">
      <alignment horizontal="center"/>
    </xf>
    <xf numFmtId="0" fontId="53" fillId="2" borderId="0" xfId="4" applyFont="1" applyFill="1" applyBorder="1" applyAlignment="1">
      <alignment horizontal="center"/>
    </xf>
    <xf numFmtId="2" fontId="53" fillId="2" borderId="0" xfId="4" applyNumberFormat="1" applyFont="1" applyFill="1" applyBorder="1" applyAlignment="1">
      <alignment horizontal="center" wrapText="1"/>
    </xf>
    <xf numFmtId="0" fontId="55" fillId="2" borderId="0" xfId="4" applyFont="1" applyFill="1" applyAlignment="1">
      <alignment horizontal="left"/>
    </xf>
    <xf numFmtId="0" fontId="42" fillId="2" borderId="0" xfId="4" applyFont="1" applyFill="1"/>
    <xf numFmtId="14" fontId="44" fillId="2" borderId="0" xfId="4" applyNumberFormat="1" applyFont="1" applyFill="1" applyAlignment="1">
      <alignment horizontal="left"/>
    </xf>
    <xf numFmtId="0" fontId="46" fillId="2" borderId="0" xfId="4" applyFont="1" applyFill="1"/>
    <xf numFmtId="0" fontId="4" fillId="2" borderId="0" xfId="4" applyFont="1" applyFill="1"/>
    <xf numFmtId="0" fontId="6" fillId="2" borderId="0" xfId="4" applyFont="1" applyFill="1" applyBorder="1"/>
    <xf numFmtId="0" fontId="51" fillId="2" borderId="0" xfId="4" applyFont="1" applyFill="1" applyBorder="1" applyAlignment="1">
      <alignment horizontal="center" wrapText="1"/>
    </xf>
    <xf numFmtId="2" fontId="51" fillId="2" borderId="0" xfId="4" applyNumberFormat="1" applyFont="1" applyFill="1" applyBorder="1" applyAlignment="1">
      <alignment horizontal="center" wrapText="1"/>
    </xf>
    <xf numFmtId="0" fontId="47" fillId="2" borderId="0" xfId="4" applyFont="1" applyFill="1" applyBorder="1" applyAlignment="1">
      <alignment horizontal="center"/>
    </xf>
    <xf numFmtId="2" fontId="47" fillId="2" borderId="0" xfId="4" applyNumberFormat="1" applyFont="1" applyFill="1" applyBorder="1" applyAlignment="1">
      <alignment horizontal="center" wrapText="1"/>
    </xf>
    <xf numFmtId="0" fontId="6" fillId="2" borderId="3" xfId="4" applyFont="1" applyFill="1" applyBorder="1" applyAlignment="1">
      <alignment horizontal="center"/>
    </xf>
    <xf numFmtId="170" fontId="6" fillId="2" borderId="3" xfId="4" applyNumberFormat="1" applyFont="1" applyFill="1" applyBorder="1" applyAlignment="1">
      <alignment horizontal="center"/>
    </xf>
    <xf numFmtId="2" fontId="47" fillId="2" borderId="0" xfId="4" applyNumberFormat="1" applyFont="1" applyFill="1" applyBorder="1" applyAlignment="1">
      <alignment horizontal="center"/>
    </xf>
    <xf numFmtId="0" fontId="52" fillId="0" borderId="0" xfId="4" applyFont="1" applyAlignment="1">
      <alignment horizontal="center"/>
    </xf>
    <xf numFmtId="2" fontId="6" fillId="2" borderId="0" xfId="4" applyNumberFormat="1" applyFont="1" applyFill="1" applyBorder="1" applyAlignment="1">
      <alignment horizontal="center" wrapText="1"/>
    </xf>
    <xf numFmtId="172" fontId="54" fillId="2" borderId="0" xfId="4" applyNumberFormat="1" applyFont="1" applyFill="1" applyBorder="1" applyAlignment="1">
      <alignment horizontal="center"/>
    </xf>
    <xf numFmtId="0" fontId="0" fillId="0" borderId="26" xfId="0" applyBorder="1"/>
    <xf numFmtId="0" fontId="0" fillId="0" borderId="0" xfId="0"/>
    <xf numFmtId="0" fontId="0" fillId="0" borderId="0" xfId="0"/>
    <xf numFmtId="0" fontId="6" fillId="0" borderId="0" xfId="0" applyFont="1" applyFill="1" applyBorder="1" applyAlignment="1">
      <alignment horizontal="center"/>
    </xf>
    <xf numFmtId="17" fontId="6" fillId="0" borderId="0" xfId="0" applyNumberFormat="1" applyFont="1" applyFill="1" applyBorder="1" applyAlignment="1">
      <alignment horizontal="center"/>
    </xf>
    <xf numFmtId="0" fontId="0" fillId="0" borderId="6" xfId="0" applyFill="1" applyBorder="1"/>
    <xf numFmtId="14" fontId="0" fillId="0" borderId="0" xfId="0" applyNumberFormat="1" applyFill="1" applyBorder="1" applyAlignment="1">
      <alignment horizontal="center"/>
    </xf>
    <xf numFmtId="0" fontId="6" fillId="2" borderId="3" xfId="4" applyFont="1" applyFill="1" applyBorder="1" applyAlignment="1">
      <alignment horizontal="center" wrapText="1"/>
    </xf>
    <xf numFmtId="0" fontId="6" fillId="26" borderId="3" xfId="4" quotePrefix="1" applyFont="1" applyFill="1" applyBorder="1" applyAlignment="1">
      <alignment horizontal="center" wrapText="1"/>
    </xf>
    <xf numFmtId="2" fontId="6" fillId="2" borderId="3" xfId="4" applyNumberFormat="1" applyFont="1" applyFill="1" applyBorder="1" applyAlignment="1">
      <alignment horizontal="center" wrapText="1"/>
    </xf>
    <xf numFmtId="0" fontId="8" fillId="2" borderId="3" xfId="4" applyFont="1" applyFill="1" applyBorder="1" applyAlignment="1">
      <alignment horizontal="center" wrapText="1"/>
    </xf>
    <xf numFmtId="173" fontId="63" fillId="27" borderId="0" xfId="74" applyNumberFormat="1" applyFont="1" applyFill="1" applyBorder="1" applyAlignment="1" applyProtection="1">
      <alignment horizontal="right"/>
    </xf>
    <xf numFmtId="0" fontId="6" fillId="2" borderId="22" xfId="4" applyFont="1" applyFill="1" applyBorder="1"/>
    <xf numFmtId="2" fontId="47" fillId="2" borderId="0" xfId="4" applyNumberFormat="1" applyFont="1" applyFill="1" applyBorder="1"/>
    <xf numFmtId="0" fontId="0" fillId="0" borderId="2" xfId="0" applyBorder="1" applyAlignment="1">
      <alignment vertical="center" wrapText="1"/>
    </xf>
    <xf numFmtId="14" fontId="0" fillId="0" borderId="2" xfId="0" applyNumberFormat="1" applyFill="1" applyBorder="1" applyAlignment="1">
      <alignment horizontal="center"/>
    </xf>
    <xf numFmtId="0" fontId="47" fillId="2" borderId="0" xfId="4" applyFont="1" applyFill="1"/>
    <xf numFmtId="0" fontId="47" fillId="2" borderId="0" xfId="4" applyFont="1" applyFill="1" applyBorder="1"/>
    <xf numFmtId="0" fontId="0" fillId="0" borderId="0" xfId="0" applyFill="1"/>
    <xf numFmtId="0" fontId="0" fillId="0" borderId="0" xfId="0"/>
    <xf numFmtId="0" fontId="0" fillId="0" borderId="2" xfId="0" applyFill="1" applyBorder="1" applyAlignment="1">
      <alignment horizontal="center" vertical="center"/>
    </xf>
    <xf numFmtId="0" fontId="0" fillId="0" borderId="0" xfId="0"/>
    <xf numFmtId="17" fontId="44" fillId="2" borderId="0" xfId="4" applyNumberFormat="1" applyFont="1" applyFill="1"/>
    <xf numFmtId="0" fontId="67" fillId="2" borderId="0" xfId="4" applyFont="1" applyFill="1" applyAlignment="1">
      <alignment horizontal="center"/>
    </xf>
    <xf numFmtId="0" fontId="68" fillId="2" borderId="0" xfId="4" applyFont="1" applyFill="1" applyBorder="1" applyAlignment="1">
      <alignment horizontal="center" wrapText="1"/>
    </xf>
    <xf numFmtId="168" fontId="6" fillId="2" borderId="3" xfId="4" applyNumberFormat="1" applyFont="1" applyFill="1" applyBorder="1" applyAlignment="1">
      <alignment horizontal="center"/>
    </xf>
    <xf numFmtId="168" fontId="6" fillId="26" borderId="3" xfId="64" applyNumberFormat="1" applyFont="1" applyFill="1" applyBorder="1" applyAlignment="1">
      <alignment horizontal="center" vertical="center"/>
    </xf>
    <xf numFmtId="168" fontId="6" fillId="2" borderId="3" xfId="4" applyNumberFormat="1" applyFont="1" applyFill="1" applyBorder="1" applyAlignment="1">
      <alignment horizontal="center" wrapText="1"/>
    </xf>
    <xf numFmtId="173" fontId="6" fillId="2" borderId="3" xfId="4" applyNumberFormat="1" applyFont="1" applyFill="1" applyBorder="1" applyAlignment="1">
      <alignment horizontal="center"/>
    </xf>
    <xf numFmtId="170" fontId="51" fillId="2" borderId="0" xfId="4" applyNumberFormat="1" applyFont="1" applyFill="1" applyBorder="1" applyAlignment="1">
      <alignment horizontal="center"/>
    </xf>
    <xf numFmtId="171" fontId="64" fillId="2" borderId="0" xfId="47" applyNumberFormat="1" applyFont="1" applyFill="1" applyBorder="1"/>
    <xf numFmtId="170" fontId="47" fillId="2" borderId="0" xfId="4" applyNumberFormat="1" applyFont="1" applyFill="1" applyBorder="1" applyAlignment="1">
      <alignment horizontal="center"/>
    </xf>
    <xf numFmtId="2" fontId="6" fillId="2" borderId="0" xfId="4" applyNumberFormat="1" applyFont="1" applyFill="1" applyBorder="1" applyAlignment="1">
      <alignment horizontal="center"/>
    </xf>
    <xf numFmtId="0" fontId="9" fillId="2" borderId="0" xfId="4" applyFont="1" applyFill="1"/>
    <xf numFmtId="0" fontId="9" fillId="2" borderId="0" xfId="4" applyFont="1" applyFill="1" applyBorder="1" applyAlignment="1">
      <alignment horizontal="center"/>
    </xf>
    <xf numFmtId="2" fontId="9" fillId="2" borderId="0" xfId="4" applyNumberFormat="1" applyFont="1" applyFill="1" applyBorder="1" applyAlignment="1">
      <alignment horizontal="center" wrapText="1"/>
    </xf>
    <xf numFmtId="2" fontId="9" fillId="2" borderId="0" xfId="4" applyNumberFormat="1" applyFont="1" applyFill="1" applyBorder="1" applyAlignment="1">
      <alignment horizontal="center"/>
    </xf>
    <xf numFmtId="168" fontId="11" fillId="2" borderId="3" xfId="4" quotePrefix="1" applyNumberFormat="1" applyFont="1" applyFill="1" applyBorder="1" applyAlignment="1">
      <alignment horizontal="center" wrapText="1"/>
    </xf>
    <xf numFmtId="0" fontId="6" fillId="0" borderId="0" xfId="4" applyFont="1" applyFill="1"/>
    <xf numFmtId="168" fontId="6" fillId="0" borderId="0" xfId="4" applyNumberFormat="1" applyFont="1" applyFill="1" applyAlignment="1">
      <alignment horizontal="center"/>
    </xf>
    <xf numFmtId="0" fontId="6" fillId="0" borderId="0" xfId="4" applyFont="1" applyFill="1" applyAlignment="1">
      <alignment horizontal="left"/>
    </xf>
    <xf numFmtId="0" fontId="6" fillId="0" borderId="0" xfId="4" quotePrefix="1" applyNumberFormat="1" applyFont="1" applyFill="1" applyAlignment="1">
      <alignment horizontal="left"/>
    </xf>
    <xf numFmtId="0" fontId="6" fillId="0" borderId="30" xfId="4" applyFont="1" applyFill="1" applyBorder="1"/>
    <xf numFmtId="169" fontId="11" fillId="0" borderId="2" xfId="66" applyNumberFormat="1" applyFont="1" applyBorder="1" applyAlignment="1">
      <alignment horizontal="center"/>
    </xf>
    <xf numFmtId="169" fontId="11" fillId="0" borderId="2" xfId="82" applyNumberFormat="1" applyFont="1" applyBorder="1" applyAlignment="1">
      <alignment horizontal="center"/>
    </xf>
    <xf numFmtId="0" fontId="44" fillId="0" borderId="27" xfId="4" quotePrefix="1" applyNumberFormat="1" applyFont="1" applyFill="1" applyBorder="1" applyAlignment="1">
      <alignment horizontal="left"/>
    </xf>
    <xf numFmtId="0" fontId="44" fillId="0" borderId="25" xfId="4" quotePrefix="1" applyNumberFormat="1" applyFont="1" applyFill="1" applyBorder="1" applyAlignment="1">
      <alignment horizontal="left"/>
    </xf>
    <xf numFmtId="0" fontId="44" fillId="0" borderId="34" xfId="4" quotePrefix="1" applyNumberFormat="1" applyFont="1" applyFill="1" applyBorder="1" applyAlignment="1">
      <alignment horizontal="left"/>
    </xf>
    <xf numFmtId="0" fontId="44" fillId="0" borderId="24" xfId="4" quotePrefix="1" applyNumberFormat="1" applyFont="1" applyFill="1" applyBorder="1" applyAlignment="1">
      <alignment horizontal="left"/>
    </xf>
    <xf numFmtId="0" fontId="44" fillId="0" borderId="11" xfId="4" quotePrefix="1" applyNumberFormat="1" applyFont="1" applyFill="1" applyBorder="1" applyAlignment="1">
      <alignment horizontal="left"/>
    </xf>
    <xf numFmtId="0" fontId="44" fillId="0" borderId="2" xfId="4" quotePrefix="1" applyNumberFormat="1" applyFont="1" applyFill="1" applyBorder="1" applyAlignment="1">
      <alignment horizontal="left"/>
    </xf>
    <xf numFmtId="0" fontId="44" fillId="0" borderId="32" xfId="4" quotePrefix="1" applyNumberFormat="1" applyFont="1" applyFill="1" applyBorder="1" applyAlignment="1">
      <alignment horizontal="left"/>
    </xf>
    <xf numFmtId="0" fontId="44" fillId="0" borderId="3" xfId="4" quotePrefix="1" applyNumberFormat="1" applyFont="1" applyFill="1" applyBorder="1" applyAlignment="1">
      <alignment horizontal="left"/>
    </xf>
    <xf numFmtId="168" fontId="6" fillId="0" borderId="0" xfId="4" applyNumberFormat="1" applyFont="1" applyFill="1"/>
    <xf numFmtId="169" fontId="11" fillId="0" borderId="0" xfId="66" applyNumberFormat="1" applyFont="1" applyAlignment="1">
      <alignment horizontal="center"/>
    </xf>
    <xf numFmtId="168" fontId="44" fillId="2" borderId="3" xfId="4" applyNumberFormat="1" applyFont="1" applyFill="1" applyBorder="1" applyAlignment="1">
      <alignment horizontal="center"/>
    </xf>
    <xf numFmtId="168" fontId="44" fillId="2" borderId="24" xfId="4" applyNumberFormat="1" applyFont="1" applyFill="1" applyBorder="1" applyAlignment="1">
      <alignment horizontal="center"/>
    </xf>
    <xf numFmtId="168" fontId="44" fillId="2" borderId="3" xfId="4" quotePrefix="1" applyNumberFormat="1" applyFont="1" applyFill="1" applyBorder="1" applyAlignment="1">
      <alignment horizontal="center"/>
    </xf>
    <xf numFmtId="0" fontId="6" fillId="0" borderId="0" xfId="4" applyFont="1" applyFill="1" applyAlignment="1">
      <alignment wrapText="1"/>
    </xf>
    <xf numFmtId="168" fontId="11" fillId="2" borderId="3" xfId="4" applyNumberFormat="1" applyFont="1" applyFill="1" applyBorder="1" applyAlignment="1">
      <alignment horizontal="center" wrapText="1"/>
    </xf>
    <xf numFmtId="0" fontId="11" fillId="2" borderId="3" xfId="4" quotePrefix="1" applyNumberFormat="1" applyFont="1" applyFill="1" applyBorder="1" applyAlignment="1">
      <alignment horizontal="left" wrapText="1"/>
    </xf>
    <xf numFmtId="0" fontId="11" fillId="2" borderId="3" xfId="4" applyFont="1" applyFill="1" applyBorder="1" applyAlignment="1">
      <alignment horizontal="left" wrapText="1"/>
    </xf>
    <xf numFmtId="0" fontId="70" fillId="0" borderId="0" xfId="4" applyFont="1" applyFill="1" applyAlignment="1">
      <alignment wrapText="1"/>
    </xf>
    <xf numFmtId="0" fontId="0" fillId="0" borderId="0" xfId="0"/>
    <xf numFmtId="169" fontId="0" fillId="0" borderId="2" xfId="0" applyNumberForma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7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17" fontId="4" fillId="2" borderId="2" xfId="0" applyNumberFormat="1" applyFont="1" applyFill="1" applyBorder="1" applyAlignment="1">
      <alignment horizontal="center"/>
    </xf>
    <xf numFmtId="169" fontId="4" fillId="0" borderId="2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168" fontId="16" fillId="0" borderId="2" xfId="0" quotePrefix="1" applyNumberFormat="1" applyFont="1" applyFill="1" applyBorder="1" applyAlignment="1">
      <alignment horizontal="center" vertical="center" wrapText="1"/>
    </xf>
    <xf numFmtId="168" fontId="16" fillId="2" borderId="2" xfId="4" applyNumberFormat="1" applyFont="1" applyFill="1" applyBorder="1" applyAlignment="1">
      <alignment horizontal="center" wrapText="1"/>
    </xf>
    <xf numFmtId="168" fontId="11" fillId="2" borderId="2" xfId="4" quotePrefix="1" applyNumberFormat="1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/>
    </xf>
    <xf numFmtId="17" fontId="6" fillId="2" borderId="2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0" borderId="2" xfId="4" quotePrefix="1" applyNumberFormat="1" applyFont="1" applyFill="1" applyBorder="1" applyAlignment="1">
      <alignment horizontal="left" vertical="center"/>
    </xf>
    <xf numFmtId="0" fontId="4" fillId="0" borderId="2" xfId="2" quotePrefix="1" applyNumberFormat="1" applyFont="1" applyFill="1" applyBorder="1" applyAlignment="1">
      <alignment horizontal="center" vertical="center" wrapText="1"/>
    </xf>
    <xf numFmtId="0" fontId="4" fillId="0" borderId="2" xfId="0" quotePrefix="1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44" fillId="0" borderId="0" xfId="4" applyFont="1" applyFill="1"/>
    <xf numFmtId="0" fontId="44" fillId="0" borderId="0" xfId="4" applyFont="1" applyFill="1" applyAlignment="1">
      <alignment horizontal="left"/>
    </xf>
    <xf numFmtId="0" fontId="3" fillId="0" borderId="2" xfId="0" applyFont="1" applyFill="1" applyBorder="1" applyAlignment="1">
      <alignment horizontal="center" vertical="center" wrapText="1"/>
    </xf>
    <xf numFmtId="0" fontId="44" fillId="0" borderId="2" xfId="65" applyNumberFormat="1" applyFont="1" applyFill="1" applyBorder="1" applyAlignment="1">
      <alignment horizontal="left" vertical="center"/>
    </xf>
    <xf numFmtId="0" fontId="44" fillId="0" borderId="2" xfId="65" applyNumberFormat="1" applyFont="1" applyFill="1" applyBorder="1" applyAlignment="1">
      <alignment horizontal="center" vertical="center"/>
    </xf>
    <xf numFmtId="169" fontId="4" fillId="0" borderId="2" xfId="2" quotePrefix="1" applyNumberFormat="1" applyFont="1" applyFill="1" applyBorder="1" applyAlignment="1">
      <alignment horizontal="center" wrapText="1"/>
    </xf>
    <xf numFmtId="10" fontId="6" fillId="3" borderId="9" xfId="0" applyNumberFormat="1" applyFont="1" applyFill="1" applyBorder="1" applyAlignment="1">
      <alignment horizontal="center"/>
    </xf>
    <xf numFmtId="10" fontId="6" fillId="3" borderId="10" xfId="0" applyNumberFormat="1" applyFont="1" applyFill="1" applyBorder="1" applyAlignment="1">
      <alignment horizontal="center"/>
    </xf>
    <xf numFmtId="169" fontId="6" fillId="3" borderId="2" xfId="0" applyNumberFormat="1" applyFont="1" applyFill="1" applyBorder="1" applyAlignment="1">
      <alignment horizontal="center"/>
    </xf>
    <xf numFmtId="10" fontId="6" fillId="3" borderId="0" xfId="0" applyNumberFormat="1" applyFont="1" applyFill="1" applyBorder="1" applyAlignment="1">
      <alignment horizontal="center"/>
    </xf>
    <xf numFmtId="10" fontId="6" fillId="3" borderId="7" xfId="0" applyNumberFormat="1" applyFont="1" applyFill="1" applyBorder="1" applyAlignment="1">
      <alignment horizontal="center"/>
    </xf>
    <xf numFmtId="2" fontId="0" fillId="0" borderId="0" xfId="0" applyNumberFormat="1"/>
    <xf numFmtId="169" fontId="0" fillId="0" borderId="0" xfId="0" applyNumberFormat="1"/>
    <xf numFmtId="0" fontId="44" fillId="28" borderId="0" xfId="4" applyFont="1" applyFill="1"/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center"/>
    </xf>
    <xf numFmtId="0" fontId="48" fillId="2" borderId="0" xfId="4" applyFont="1" applyFill="1" applyAlignment="1">
      <alignment horizontal="center"/>
    </xf>
    <xf numFmtId="0" fontId="50" fillId="2" borderId="0" xfId="4" applyFont="1" applyFill="1" applyAlignment="1">
      <alignment horizontal="center"/>
    </xf>
    <xf numFmtId="168" fontId="44" fillId="2" borderId="3" xfId="4" applyNumberFormat="1" applyFont="1" applyFill="1" applyBorder="1" applyAlignment="1">
      <alignment horizontal="center" vertical="center"/>
    </xf>
    <xf numFmtId="168" fontId="44" fillId="0" borderId="3" xfId="4" applyNumberFormat="1" applyFont="1" applyFill="1" applyBorder="1" applyAlignment="1">
      <alignment horizontal="center" vertical="center"/>
    </xf>
    <xf numFmtId="4" fontId="44" fillId="0" borderId="3" xfId="4" applyNumberFormat="1" applyFont="1" applyFill="1" applyBorder="1" applyAlignment="1">
      <alignment horizontal="center" vertical="center"/>
    </xf>
    <xf numFmtId="168" fontId="42" fillId="0" borderId="3" xfId="4" applyNumberFormat="1" applyFont="1" applyFill="1" applyBorder="1" applyAlignment="1">
      <alignment horizontal="center" vertical="center"/>
    </xf>
    <xf numFmtId="168" fontId="44" fillId="0" borderId="31" xfId="4" applyNumberFormat="1" applyFont="1" applyFill="1" applyBorder="1" applyAlignment="1">
      <alignment horizontal="center" vertical="center"/>
    </xf>
    <xf numFmtId="168" fontId="44" fillId="0" borderId="33" xfId="4" applyNumberFormat="1" applyFont="1" applyFill="1" applyBorder="1" applyAlignment="1">
      <alignment horizontal="center" vertical="center"/>
    </xf>
    <xf numFmtId="4" fontId="44" fillId="0" borderId="32" xfId="4" applyNumberFormat="1" applyFont="1" applyFill="1" applyBorder="1" applyAlignment="1">
      <alignment horizontal="center" vertical="center"/>
    </xf>
    <xf numFmtId="0" fontId="11" fillId="2" borderId="3" xfId="4" applyFont="1" applyFill="1" applyBorder="1" applyAlignment="1">
      <alignment horizontal="center" vertical="center" wrapText="1"/>
    </xf>
    <xf numFmtId="168" fontId="71" fillId="2" borderId="3" xfId="4" applyNumberFormat="1" applyFont="1" applyFill="1" applyBorder="1" applyAlignment="1">
      <alignment horizontal="center" vertical="center" wrapText="1"/>
    </xf>
    <xf numFmtId="168" fontId="44" fillId="0" borderId="3" xfId="4" applyNumberFormat="1" applyFont="1" applyFill="1" applyBorder="1" applyAlignment="1">
      <alignment horizontal="center"/>
    </xf>
    <xf numFmtId="0" fontId="11" fillId="2" borderId="24" xfId="4" quotePrefix="1" applyFont="1" applyFill="1" applyBorder="1" applyAlignment="1">
      <alignment horizontal="center" vertical="center" wrapText="1"/>
    </xf>
    <xf numFmtId="0" fontId="11" fillId="2" borderId="29" xfId="4" quotePrefix="1" applyFont="1" applyFill="1" applyBorder="1" applyAlignment="1">
      <alignment horizontal="center" vertical="center" wrapText="1"/>
    </xf>
    <xf numFmtId="0" fontId="11" fillId="2" borderId="22" xfId="4" quotePrefix="1" applyFont="1" applyFill="1" applyBorder="1" applyAlignment="1">
      <alignment horizontal="center" vertical="center" wrapText="1"/>
    </xf>
    <xf numFmtId="168" fontId="71" fillId="2" borderId="3" xfId="4" quotePrefix="1" applyNumberFormat="1" applyFont="1" applyFill="1" applyBorder="1" applyAlignment="1">
      <alignment horizontal="center" wrapText="1"/>
    </xf>
    <xf numFmtId="168" fontId="11" fillId="2" borderId="3" xfId="4" quotePrefix="1" applyNumberFormat="1" applyFont="1" applyFill="1" applyBorder="1" applyAlignment="1">
      <alignment horizontal="center" wrapText="1"/>
    </xf>
    <xf numFmtId="0" fontId="12" fillId="0" borderId="0" xfId="0" applyFont="1" applyAlignment="1">
      <alignment horizontal="left" vertical="center" wrapText="1"/>
    </xf>
    <xf numFmtId="2" fontId="4" fillId="0" borderId="25" xfId="2" quotePrefix="1" applyNumberFormat="1" applyFont="1" applyFill="1" applyBorder="1" applyAlignment="1">
      <alignment horizontal="center" vertical="center" wrapText="1"/>
    </xf>
    <xf numFmtId="2" fontId="4" fillId="0" borderId="28" xfId="2" quotePrefix="1" applyNumberFormat="1" applyFont="1" applyFill="1" applyBorder="1" applyAlignment="1">
      <alignment horizontal="center" vertical="center" wrapText="1"/>
    </xf>
    <xf numFmtId="2" fontId="4" fillId="0" borderId="23" xfId="2" quotePrefix="1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wrapText="1"/>
    </xf>
  </cellXfs>
  <cellStyles count="85">
    <cellStyle name="20% - Accent1 2" xfId="6" xr:uid="{00000000-0005-0000-0000-000000000000}"/>
    <cellStyle name="20% - Accent2 2" xfId="7" xr:uid="{00000000-0005-0000-0000-000001000000}"/>
    <cellStyle name="20% - Accent3 2" xfId="8" xr:uid="{00000000-0005-0000-0000-000002000000}"/>
    <cellStyle name="20% - Accent4 2" xfId="9" xr:uid="{00000000-0005-0000-0000-000003000000}"/>
    <cellStyle name="20% - Accent5 2" xfId="10" xr:uid="{00000000-0005-0000-0000-000004000000}"/>
    <cellStyle name="20% - Accent6 2" xfId="11" xr:uid="{00000000-0005-0000-0000-000005000000}"/>
    <cellStyle name="40% - Accent1 2" xfId="12" xr:uid="{00000000-0005-0000-0000-000006000000}"/>
    <cellStyle name="40% - Accent2 2" xfId="13" xr:uid="{00000000-0005-0000-0000-000007000000}"/>
    <cellStyle name="40% - Accent3 2" xfId="14" xr:uid="{00000000-0005-0000-0000-000008000000}"/>
    <cellStyle name="40% - Accent4 2" xfId="15" xr:uid="{00000000-0005-0000-0000-000009000000}"/>
    <cellStyle name="40% - Accent5 2" xfId="16" xr:uid="{00000000-0005-0000-0000-00000A000000}"/>
    <cellStyle name="40% - Accent6 2" xfId="17" xr:uid="{00000000-0005-0000-0000-00000B000000}"/>
    <cellStyle name="60% - Accent1 2" xfId="18" xr:uid="{00000000-0005-0000-0000-00000C000000}"/>
    <cellStyle name="60% - Accent2 2" xfId="19" xr:uid="{00000000-0005-0000-0000-00000D000000}"/>
    <cellStyle name="60% - Accent3 2" xfId="20" xr:uid="{00000000-0005-0000-0000-00000E000000}"/>
    <cellStyle name="60% - Accent4 2" xfId="21" xr:uid="{00000000-0005-0000-0000-00000F000000}"/>
    <cellStyle name="60% - Accent5 2" xfId="22" xr:uid="{00000000-0005-0000-0000-000010000000}"/>
    <cellStyle name="60% - Accent6 2" xfId="23" xr:uid="{00000000-0005-0000-0000-000011000000}"/>
    <cellStyle name="Accent1 2" xfId="24" xr:uid="{00000000-0005-0000-0000-000012000000}"/>
    <cellStyle name="Accent2 2" xfId="25" xr:uid="{00000000-0005-0000-0000-000013000000}"/>
    <cellStyle name="Accent3 2" xfId="26" xr:uid="{00000000-0005-0000-0000-000014000000}"/>
    <cellStyle name="Accent4 2" xfId="27" xr:uid="{00000000-0005-0000-0000-000015000000}"/>
    <cellStyle name="Accent5 2" xfId="28" xr:uid="{00000000-0005-0000-0000-000016000000}"/>
    <cellStyle name="Accent6 2" xfId="29" xr:uid="{00000000-0005-0000-0000-000017000000}"/>
    <cellStyle name="Bad 2" xfId="30" xr:uid="{00000000-0005-0000-0000-000018000000}"/>
    <cellStyle name="Calculation 2" xfId="31" xr:uid="{00000000-0005-0000-0000-000019000000}"/>
    <cellStyle name="Check Cell 2" xfId="32" xr:uid="{00000000-0005-0000-0000-00001A000000}"/>
    <cellStyle name="Comma [0] 2" xfId="33" xr:uid="{00000000-0005-0000-0000-00001B000000}"/>
    <cellStyle name="Comma [0] 2 2" xfId="69" xr:uid="{00000000-0005-0000-0000-00001C000000}"/>
    <cellStyle name="Comma 2" xfId="34" xr:uid="{00000000-0005-0000-0000-00001D000000}"/>
    <cellStyle name="Comma 3" xfId="76" xr:uid="{00000000-0005-0000-0000-00001E000000}"/>
    <cellStyle name="Comma 4" xfId="77" xr:uid="{00000000-0005-0000-0000-00001F000000}"/>
    <cellStyle name="Currency [0] 2" xfId="35" xr:uid="{00000000-0005-0000-0000-000020000000}"/>
    <cellStyle name="Currency 2" xfId="36" xr:uid="{00000000-0005-0000-0000-000021000000}"/>
    <cellStyle name="Explanatory Text 2" xfId="37" xr:uid="{00000000-0005-0000-0000-000022000000}"/>
    <cellStyle name="Good 2" xfId="38" xr:uid="{00000000-0005-0000-0000-000023000000}"/>
    <cellStyle name="Heading 1 2" xfId="39" xr:uid="{00000000-0005-0000-0000-000024000000}"/>
    <cellStyle name="Heading 2 2" xfId="40" xr:uid="{00000000-0005-0000-0000-000025000000}"/>
    <cellStyle name="Heading 3 2" xfId="41" xr:uid="{00000000-0005-0000-0000-000026000000}"/>
    <cellStyle name="Heading 4 2" xfId="42" xr:uid="{00000000-0005-0000-0000-000027000000}"/>
    <cellStyle name="Hyperlink" xfId="1" builtinId="8"/>
    <cellStyle name="Hyperlink 2" xfId="43" xr:uid="{00000000-0005-0000-0000-000029000000}"/>
    <cellStyle name="Input 2" xfId="44" xr:uid="{00000000-0005-0000-0000-00002A000000}"/>
    <cellStyle name="Linked Cell 2" xfId="45" xr:uid="{00000000-0005-0000-0000-00002B000000}"/>
    <cellStyle name="Neutral 2" xfId="46" xr:uid="{00000000-0005-0000-0000-00002C000000}"/>
    <cellStyle name="Normal" xfId="0" builtinId="0"/>
    <cellStyle name="Normal 10" xfId="65" xr:uid="{00000000-0005-0000-0000-00002E000000}"/>
    <cellStyle name="Normal 2" xfId="47" xr:uid="{00000000-0005-0000-0000-00002F000000}"/>
    <cellStyle name="Normal 2 2" xfId="4" xr:uid="{00000000-0005-0000-0000-000030000000}"/>
    <cellStyle name="Normal 2 2 2" xfId="73" xr:uid="{00000000-0005-0000-0000-000031000000}"/>
    <cellStyle name="Normal 2 2 3" xfId="75" xr:uid="{00000000-0005-0000-0000-000032000000}"/>
    <cellStyle name="Normal 2 3" xfId="66" xr:uid="{00000000-0005-0000-0000-000033000000}"/>
    <cellStyle name="Normal 2 3 2" xfId="81" xr:uid="{00000000-0005-0000-0000-000034000000}"/>
    <cellStyle name="Normal 3" xfId="48" xr:uid="{00000000-0005-0000-0000-000035000000}"/>
    <cellStyle name="Normal 3 2" xfId="49" xr:uid="{00000000-0005-0000-0000-000036000000}"/>
    <cellStyle name="Normal 3 2 2" xfId="50" xr:uid="{00000000-0005-0000-0000-000037000000}"/>
    <cellStyle name="Normal 3 2 3" xfId="74" xr:uid="{00000000-0005-0000-0000-000038000000}"/>
    <cellStyle name="Normal 3 3" xfId="51" xr:uid="{00000000-0005-0000-0000-000039000000}"/>
    <cellStyle name="Normal 3 4" xfId="68" xr:uid="{00000000-0005-0000-0000-00003A000000}"/>
    <cellStyle name="Normal 3 5" xfId="78" xr:uid="{00000000-0005-0000-0000-00003B000000}"/>
    <cellStyle name="Normal 3 6" xfId="83" xr:uid="{00000000-0005-0000-0000-00003C000000}"/>
    <cellStyle name="Normal 4" xfId="52" xr:uid="{00000000-0005-0000-0000-00003D000000}"/>
    <cellStyle name="Normal 4 2" xfId="71" xr:uid="{00000000-0005-0000-0000-00003E000000}"/>
    <cellStyle name="Normal 4 2 2" xfId="80" xr:uid="{00000000-0005-0000-0000-00003F000000}"/>
    <cellStyle name="Normal 4 3" xfId="72" xr:uid="{00000000-0005-0000-0000-000040000000}"/>
    <cellStyle name="Normal 4 4" xfId="79" xr:uid="{00000000-0005-0000-0000-000041000000}"/>
    <cellStyle name="Normal 4 5" xfId="84" xr:uid="{00000000-0005-0000-0000-000042000000}"/>
    <cellStyle name="Normal 5" xfId="5" xr:uid="{00000000-0005-0000-0000-000043000000}"/>
    <cellStyle name="Normal 5 2" xfId="53" xr:uid="{00000000-0005-0000-0000-000044000000}"/>
    <cellStyle name="Normal 6" xfId="54" xr:uid="{00000000-0005-0000-0000-000045000000}"/>
    <cellStyle name="Normal 6 2" xfId="2" xr:uid="{00000000-0005-0000-0000-000046000000}"/>
    <cellStyle name="Normal 6 3" xfId="82" xr:uid="{00000000-0005-0000-0000-000047000000}"/>
    <cellStyle name="Normal 7" xfId="61" xr:uid="{00000000-0005-0000-0000-000048000000}"/>
    <cellStyle name="Normal 8" xfId="62" xr:uid="{00000000-0005-0000-0000-000049000000}"/>
    <cellStyle name="Normal 8 2" xfId="67" xr:uid="{00000000-0005-0000-0000-00004A000000}"/>
    <cellStyle name="Normal 9" xfId="63" xr:uid="{00000000-0005-0000-0000-00004B000000}"/>
    <cellStyle name="Normal_10297 Load Forecast Revised April 17, 2002" xfId="64" xr:uid="{00000000-0005-0000-0000-00004C000000}"/>
    <cellStyle name="Note 2" xfId="55" xr:uid="{00000000-0005-0000-0000-00004D000000}"/>
    <cellStyle name="Note 2 2" xfId="70" xr:uid="{00000000-0005-0000-0000-00004E000000}"/>
    <cellStyle name="Output 2" xfId="56" xr:uid="{00000000-0005-0000-0000-00004F000000}"/>
    <cellStyle name="Percent" xfId="3" builtinId="5"/>
    <cellStyle name="Percent 2" xfId="57" xr:uid="{00000000-0005-0000-0000-000051000000}"/>
    <cellStyle name="Title 2" xfId="58" xr:uid="{00000000-0005-0000-0000-000052000000}"/>
    <cellStyle name="Total 2" xfId="59" xr:uid="{00000000-0005-0000-0000-000053000000}"/>
    <cellStyle name="Warning Text 2" xfId="60" xr:uid="{00000000-0005-0000-0000-000054000000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100" b="1" i="0" baseline="0">
                <a:effectLst/>
              </a:rPr>
              <a:t>Holland Transformer Station CCRA</a:t>
            </a:r>
            <a:endParaRPr lang="en-US" sz="11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000" b="1" i="0" baseline="0">
                <a:effectLst/>
              </a:rPr>
              <a:t>Newmarket-Tay Power Distribution Inc</a:t>
            </a:r>
            <a:endParaRPr lang="en-US" sz="10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                                                                                                                        </a:t>
            </a:r>
          </a:p>
        </c:rich>
      </c:tx>
      <c:layout>
        <c:manualLayout>
          <c:xMode val="edge"/>
          <c:yMode val="edge"/>
          <c:x val="0.36073391976630542"/>
          <c:y val="1.89573459715639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101600049540086E-2"/>
          <c:y val="9.5576619273301744E-2"/>
          <c:w val="0.92082654872834613"/>
          <c:h val="0.72748815165876779"/>
        </c:manualLayout>
      </c:layout>
      <c:lineChart>
        <c:grouping val="standard"/>
        <c:varyColors val="0"/>
        <c:ser>
          <c:idx val="0"/>
          <c:order val="0"/>
          <c:tx>
            <c:strRef>
              <c:f>' Load Summary'!$S$8</c:f>
              <c:strCache>
                <c:ptCount val="1"/>
                <c:pt idx="0">
                  <c:v>Previous DCF Load Profile</c:v>
                </c:pt>
              </c:strCache>
            </c:strRef>
          </c:tx>
          <c:marker>
            <c:symbol val="none"/>
          </c:marker>
          <c:val>
            <c:numRef>
              <c:f>' Load Summary'!$S$9:$S$33</c:f>
              <c:numCache>
                <c:formatCode>0.00</c:formatCode>
                <c:ptCount val="25"/>
                <c:pt idx="0">
                  <c:v>26.53904180467978</c:v>
                </c:pt>
                <c:pt idx="1">
                  <c:v>31.194214417535562</c:v>
                </c:pt>
                <c:pt idx="2">
                  <c:v>36.147073047492192</c:v>
                </c:pt>
                <c:pt idx="3">
                  <c:v>41.047881361018788</c:v>
                </c:pt>
                <c:pt idx="4">
                  <c:v>45.952880129666141</c:v>
                </c:pt>
                <c:pt idx="5">
                  <c:v>50.923686066441569</c:v>
                </c:pt>
                <c:pt idx="6">
                  <c:v>54.403049048429473</c:v>
                </c:pt>
                <c:pt idx="7">
                  <c:v>54.56076505569763</c:v>
                </c:pt>
                <c:pt idx="8">
                  <c:v>54.56076505569763</c:v>
                </c:pt>
                <c:pt idx="9">
                  <c:v>54.56076505569763</c:v>
                </c:pt>
                <c:pt idx="10">
                  <c:v>54.56076505569763</c:v>
                </c:pt>
                <c:pt idx="11">
                  <c:v>54.56076505569763</c:v>
                </c:pt>
                <c:pt idx="12">
                  <c:v>54.56076505569763</c:v>
                </c:pt>
                <c:pt idx="13">
                  <c:v>54.56076505569763</c:v>
                </c:pt>
                <c:pt idx="14">
                  <c:v>54.56076505569763</c:v>
                </c:pt>
                <c:pt idx="15">
                  <c:v>54.56076505569763</c:v>
                </c:pt>
                <c:pt idx="16">
                  <c:v>54.56076505569763</c:v>
                </c:pt>
                <c:pt idx="17">
                  <c:v>54.56076505569763</c:v>
                </c:pt>
                <c:pt idx="18">
                  <c:v>54.56076505569763</c:v>
                </c:pt>
                <c:pt idx="19">
                  <c:v>54.56076505569763</c:v>
                </c:pt>
                <c:pt idx="20">
                  <c:v>54.56076505569763</c:v>
                </c:pt>
                <c:pt idx="21">
                  <c:v>54.560035175090093</c:v>
                </c:pt>
                <c:pt idx="22">
                  <c:v>54.558575413875005</c:v>
                </c:pt>
                <c:pt idx="23">
                  <c:v>54.558575413875005</c:v>
                </c:pt>
                <c:pt idx="24">
                  <c:v>54.558575413875005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D-48CB-91BE-190904679BFC}"/>
            </c:ext>
          </c:extLst>
        </c:ser>
        <c:ser>
          <c:idx val="1"/>
          <c:order val="1"/>
          <c:tx>
            <c:strRef>
              <c:f>' Load Summary'!$T$8</c:f>
              <c:strCache>
                <c:ptCount val="1"/>
                <c:pt idx="0">
                  <c:v>Actual Load Data</c:v>
                </c:pt>
              </c:strCache>
            </c:strRef>
          </c:tx>
          <c:marker>
            <c:symbol val="none"/>
          </c:marker>
          <c:val>
            <c:numRef>
              <c:f>' Load Summary'!$T$9:$T$13</c:f>
              <c:numCache>
                <c:formatCode>0.00</c:formatCode>
                <c:ptCount val="5"/>
                <c:pt idx="0">
                  <c:v>0</c:v>
                </c:pt>
                <c:pt idx="1">
                  <c:v>2.230416666666649</c:v>
                </c:pt>
                <c:pt idx="2">
                  <c:v>0</c:v>
                </c:pt>
                <c:pt idx="3">
                  <c:v>0</c:v>
                </c:pt>
                <c:pt idx="4">
                  <c:v>5.1048333333333247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AD-48CB-91BE-190904679BFC}"/>
            </c:ext>
          </c:extLst>
        </c:ser>
        <c:ser>
          <c:idx val="2"/>
          <c:order val="2"/>
          <c:tx>
            <c:strRef>
              <c:f>' Load Summary'!$U$8</c:f>
              <c:strCache>
                <c:ptCount val="1"/>
                <c:pt idx="0">
                  <c:v>Revised Forecast</c:v>
                </c:pt>
              </c:strCache>
            </c:strRef>
          </c:tx>
          <c:spPr>
            <a:ln>
              <a:solidFill>
                <a:srgbClr val="FF0000"/>
              </a:solidFill>
              <a:prstDash val="lgDash"/>
            </a:ln>
          </c:spPr>
          <c:marker>
            <c:symbol val="none"/>
          </c:marker>
          <c:val>
            <c:numRef>
              <c:f>' Load Summary'!$U$9:$U$33</c:f>
              <c:numCache>
                <c:formatCode>0.00</c:formatCode>
                <c:ptCount val="25"/>
                <c:pt idx="4">
                  <c:v>5.1048333333333247</c:v>
                </c:pt>
                <c:pt idx="5">
                  <c:v>14.174999999999997</c:v>
                </c:pt>
                <c:pt idx="6">
                  <c:v>16.766999999999996</c:v>
                </c:pt>
                <c:pt idx="7">
                  <c:v>19.359000000000009</c:v>
                </c:pt>
                <c:pt idx="8">
                  <c:v>21.950999999999993</c:v>
                </c:pt>
                <c:pt idx="9">
                  <c:v>24.705000000000013</c:v>
                </c:pt>
                <c:pt idx="10">
                  <c:v>27.459000000000003</c:v>
                </c:pt>
                <c:pt idx="11">
                  <c:v>28.188000000000017</c:v>
                </c:pt>
                <c:pt idx="12">
                  <c:v>28.836000000000013</c:v>
                </c:pt>
                <c:pt idx="13">
                  <c:v>29.564999999999998</c:v>
                </c:pt>
                <c:pt idx="14">
                  <c:v>30.294000000000011</c:v>
                </c:pt>
                <c:pt idx="15">
                  <c:v>31.023000000000025</c:v>
                </c:pt>
                <c:pt idx="16">
                  <c:v>31.751999999999981</c:v>
                </c:pt>
                <c:pt idx="17">
                  <c:v>32.480999999999995</c:v>
                </c:pt>
                <c:pt idx="18">
                  <c:v>33.210000000000008</c:v>
                </c:pt>
                <c:pt idx="19">
                  <c:v>33.939000000000021</c:v>
                </c:pt>
                <c:pt idx="20">
                  <c:v>34.668000000000006</c:v>
                </c:pt>
                <c:pt idx="21">
                  <c:v>35.396999999999991</c:v>
                </c:pt>
                <c:pt idx="22">
                  <c:v>36.126000000000005</c:v>
                </c:pt>
                <c:pt idx="23">
                  <c:v>36.855000000000018</c:v>
                </c:pt>
                <c:pt idx="24">
                  <c:v>37.664999999999992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AD-48CB-91BE-190904679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791616"/>
        <c:axId val="99793152"/>
      </c:lineChart>
      <c:catAx>
        <c:axId val="9979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9793152"/>
        <c:crosses val="autoZero"/>
        <c:auto val="1"/>
        <c:lblAlgn val="ctr"/>
        <c:lblOffset val="100"/>
        <c:noMultiLvlLbl val="0"/>
      </c:catAx>
      <c:valAx>
        <c:axId val="99793152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non-coincident peak [MW]</a:t>
                </a:r>
              </a:p>
            </c:rich>
          </c:tx>
          <c:layout>
            <c:manualLayout>
              <c:xMode val="edge"/>
              <c:yMode val="edge"/>
              <c:x val="8.095849943443263E-4"/>
              <c:y val="0.289099526066350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97916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7538738620015595E-2"/>
          <c:y val="0.93601895734597151"/>
          <c:w val="0.9568172283903843"/>
          <c:h val="5.408391486609198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0</xdr:rowOff>
    </xdr:from>
    <xdr:to>
      <xdr:col>15</xdr:col>
      <xdr:colOff>0</xdr:colOff>
      <xdr:row>64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13</xdr:col>
      <xdr:colOff>419100</xdr:colOff>
      <xdr:row>0</xdr:row>
      <xdr:rowOff>28575</xdr:rowOff>
    </xdr:from>
    <xdr:ext cx="982980" cy="539115"/>
    <xdr:pic>
      <xdr:nvPicPr>
        <xdr:cNvPr id="3" name="Picture 1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020" y="28575"/>
          <a:ext cx="98298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422413</xdr:colOff>
      <xdr:row>61</xdr:row>
      <xdr:rowOff>124238</xdr:rowOff>
    </xdr:from>
    <xdr:to>
      <xdr:col>13</xdr:col>
      <xdr:colOff>687456</xdr:colOff>
      <xdr:row>62</xdr:row>
      <xdr:rowOff>149087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47253" y="9885458"/>
          <a:ext cx="7702163" cy="1848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/>
            <a:t>Project Year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60008</xdr:rowOff>
    </xdr:from>
    <xdr:to>
      <xdr:col>5</xdr:col>
      <xdr:colOff>495300</xdr:colOff>
      <xdr:row>15</xdr:row>
      <xdr:rowOff>63199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783908"/>
          <a:ext cx="6490335" cy="21977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87633\AppData\Local\Temp\Temp1_12970%20Summary%20PowerStream%20HollandTS%202010-10-21%20(2).zip\12970%20CapCon%20Transformation%20PowerStream%20HollandTS%202010-10-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cision%20Support\VRD%20717311\Projects\Active\Transmission\Customers\GM%20Oshawa\12283%20Contribution%2015%20Year%20Line%20Tap%20With%20Municipal%20Taxes%20Revised%20April%204,%20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cision%20Support\VRD%20717311\Projects\Active\Transmission\TSs\New%20Oshawa%20Area%20TS\11900%20Oshawa%20PUC%20Station%20contribution%20PS%20OH%20revised%20March%202,%2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1MILPFV\493682$\SynchFolder\CCRA\540120_Hamilton%20Hydro%20Winona\FINAL%20-%20Hamilton%20Hydro%20Winona%20TS%20February%2021%202002\FINAL%20-%20Winona%20TS%20Customer%20Contribution%20Transformation%20February%2021,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Input - Proj Info"/>
      <sheetName val="Input - Conn Info"/>
      <sheetName val="Summary of Cont'n Calc. ($k)"/>
      <sheetName val="Summary of Cont'n Calc. ($M)"/>
      <sheetName val="Summary of Cont'n Calc. ($M) p1"/>
      <sheetName val="Summary of Cont'n Calc. ($M) p2"/>
      <sheetName val="Revenue Requirment"/>
      <sheetName val="Rate Impact p1"/>
      <sheetName val="Rate Impact p2"/>
      <sheetName val="System Use - Contr Calc"/>
      <sheetName val="System Use - Cash Flows"/>
      <sheetName val="System Use -  Finance Input"/>
      <sheetName val="System Use - NPV Calc."/>
      <sheetName val="System Use - MenuDropDown"/>
      <sheetName val="Module7"/>
    </sheetNames>
    <sheetDataSet>
      <sheetData sheetId="0" refreshError="1"/>
      <sheetData sheetId="1" refreshError="1">
        <row r="23">
          <cell r="I23">
            <v>39052</v>
          </cell>
        </row>
        <row r="25">
          <cell r="I25">
            <v>39934</v>
          </cell>
        </row>
        <row r="43">
          <cell r="L43">
            <v>171.33511189026379</v>
          </cell>
        </row>
        <row r="55">
          <cell r="L55">
            <v>5060.328773287586</v>
          </cell>
        </row>
      </sheetData>
      <sheetData sheetId="2" refreshError="1">
        <row r="23">
          <cell r="L23">
            <v>0</v>
          </cell>
          <cell r="M23">
            <v>0</v>
          </cell>
          <cell r="N23">
            <v>0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44">
          <cell r="L44">
            <v>0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76"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</row>
        <row r="105">
          <cell r="W105">
            <v>0</v>
          </cell>
        </row>
        <row r="126"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</row>
        <row r="143">
          <cell r="W143">
            <v>5231.6638851778498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3">
          <cell r="F23">
            <v>0</v>
          </cell>
        </row>
        <row r="30">
          <cell r="D30" t="e">
            <v>#VALUE!</v>
          </cell>
        </row>
        <row r="32">
          <cell r="D32" t="str">
            <v>ERROR</v>
          </cell>
        </row>
      </sheetData>
      <sheetData sheetId="11" refreshError="1"/>
      <sheetData sheetId="12" refreshError="1">
        <row r="24">
          <cell r="F24">
            <v>5.681332E-2</v>
          </cell>
        </row>
        <row r="42">
          <cell r="F42">
            <v>0.33500000000000002</v>
          </cell>
        </row>
        <row r="48">
          <cell r="F48">
            <v>2.2499999999999998E-3</v>
          </cell>
        </row>
        <row r="50">
          <cell r="F50">
            <v>0</v>
          </cell>
        </row>
        <row r="60">
          <cell r="D60">
            <v>0.05</v>
          </cell>
        </row>
        <row r="62">
          <cell r="D62">
            <v>6.2518373346398823E-3</v>
          </cell>
        </row>
        <row r="71">
          <cell r="E71">
            <v>0.08</v>
          </cell>
        </row>
        <row r="102">
          <cell r="D102">
            <v>1.61</v>
          </cell>
        </row>
      </sheetData>
      <sheetData sheetId="13" refreshError="1"/>
      <sheetData sheetId="14" refreshError="1">
        <row r="30">
          <cell r="F30">
            <v>25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Overview"/>
      <sheetName val="Index "/>
      <sheetName val="Input - Proj Info"/>
      <sheetName val="Input - Conn Info"/>
      <sheetName val="Class 1 Serv. Life"/>
      <sheetName val="Contr Calc."/>
      <sheetName val="Sens Analysis "/>
      <sheetName val="Annual. Pay'ts &amp; True-ups Calc."/>
      <sheetName val="DCF Analysis Basic Assumptions"/>
      <sheetName val="Cost Summary"/>
      <sheetName val="Summary of Cont'n Calc.($k)"/>
      <sheetName val="Summary of Cont'n Calc. ($M)"/>
      <sheetName val="Summary of Cont'n Calc. ($M) p1"/>
      <sheetName val="Summary of Cont'n Calc. ($M) p2"/>
      <sheetName val="Revenue Requirment"/>
      <sheetName val="Rev. Req Graph "/>
      <sheetName val="Annual. Pay'ts Sch."/>
      <sheetName val="System Use - Cash Flows"/>
      <sheetName val="System Use -  Finance Input"/>
      <sheetName val="System Use - NPV Calc."/>
      <sheetName val="System Use - Escalators"/>
      <sheetName val="Module2"/>
      <sheetName val="Module4"/>
      <sheetName val="Module3"/>
      <sheetName val="Module5"/>
      <sheetName val="Module6"/>
      <sheetName val="Module7"/>
      <sheetName val="Module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Overview"/>
      <sheetName val="Index "/>
      <sheetName val="Input - Proj Info"/>
      <sheetName val="Input - Conn Info"/>
      <sheetName val="Class 1 Serv. Life"/>
      <sheetName val="Contr Calc."/>
      <sheetName val="Sens Analysis "/>
      <sheetName val="Annual. Pay'ts &amp; True-ups Calc."/>
      <sheetName val="DCF Analysis Basic Assumptions"/>
      <sheetName val="Cost Summary"/>
      <sheetName val="Summary of Cont'n Calc. ($k)"/>
      <sheetName val="Summary of Cont'n Calc. ($M)"/>
      <sheetName val="Summary of Cont'n Calc. ($M) p1"/>
      <sheetName val="Summary of Cont'n Calc. ($M) p2"/>
      <sheetName val="Revenue Requirment"/>
      <sheetName val="Rate Impact p1"/>
      <sheetName val="Rate Impact p2"/>
      <sheetName val="Rev. Req Graph "/>
      <sheetName val="Annual. Pay'ts Sch."/>
      <sheetName val="System Use - Cash Flows"/>
      <sheetName val="System Use -  Finance Input"/>
      <sheetName val="System Use - NPV Calc."/>
      <sheetName val="System Use - Escalators"/>
      <sheetName val="Module2"/>
      <sheetName val="Module4"/>
      <sheetName val="Module3"/>
      <sheetName val="Module5"/>
      <sheetName val="Module6"/>
      <sheetName val="Module7"/>
      <sheetName val="Module8"/>
    </sheetNames>
    <sheetDataSet>
      <sheetData sheetId="0" refreshError="1"/>
      <sheetData sheetId="1"/>
      <sheetData sheetId="2"/>
      <sheetData sheetId="3">
        <row r="23">
          <cell r="M23">
            <v>38961</v>
          </cell>
        </row>
        <row r="36">
          <cell r="M36">
            <v>2008</v>
          </cell>
        </row>
        <row r="42">
          <cell r="M42">
            <v>2008</v>
          </cell>
        </row>
        <row r="120">
          <cell r="M120">
            <v>0.35</v>
          </cell>
        </row>
      </sheetData>
      <sheetData sheetId="4">
        <row r="291">
          <cell r="J291" t="str">
            <v>NoChange</v>
          </cell>
        </row>
        <row r="523">
          <cell r="F523" t="str">
            <v>N/A</v>
          </cell>
          <cell r="I523" t="str">
            <v>Revenue Guarantee Scenario (Old Method)</v>
          </cell>
        </row>
        <row r="525">
          <cell r="I525" t="str">
            <v>Revenue Guarantee Scenario (New Method)</v>
          </cell>
        </row>
      </sheetData>
      <sheetData sheetId="5"/>
      <sheetData sheetId="6">
        <row r="12">
          <cell r="D12">
            <v>1.5</v>
          </cell>
        </row>
        <row r="50">
          <cell r="AV50">
            <v>2033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Overview"/>
      <sheetName val="Index "/>
      <sheetName val="Input - Proj Info"/>
      <sheetName val="Input - Conn Info"/>
      <sheetName val="Class 1 Serv. Life"/>
      <sheetName val="Contr Calc."/>
      <sheetName val="Summary of Cont'n Calc."/>
      <sheetName val="System Use - NPV Calc."/>
      <sheetName val="Sens Analysis "/>
      <sheetName val="Annual. Pay'ts &amp; True-ups Calc."/>
      <sheetName val="Cost Summary"/>
      <sheetName val="Summary of Pay'ts &amp; Securities"/>
      <sheetName val="Annual. Pay'ts Sch."/>
      <sheetName val="System Use - Cash Flows"/>
      <sheetName val="System Use -  Finance Input"/>
      <sheetName val="System Use - Escalators"/>
      <sheetName val="Module2"/>
      <sheetName val="Module4"/>
      <sheetName val="Module3"/>
      <sheetName val="Module5"/>
      <sheetName val="Module6"/>
      <sheetName val="Module7"/>
      <sheetName val="Module8"/>
    </sheetNames>
    <sheetDataSet>
      <sheetData sheetId="0" refreshError="1"/>
      <sheetData sheetId="1"/>
      <sheetData sheetId="2"/>
      <sheetData sheetId="3">
        <row r="32">
          <cell r="M32">
            <v>2003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ydroone.com/businessservices_/Documents/CDM%20%20DG%20Load%20Adjustment%20Guidelines%20-%20Distributor%20Approach%20-%20Aug%2014%202015%20(R1)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9"/>
  <sheetViews>
    <sheetView zoomScaleNormal="100" workbookViewId="0">
      <selection activeCell="K21" sqref="K21"/>
    </sheetView>
  </sheetViews>
  <sheetFormatPr defaultRowHeight="14.4" x14ac:dyDescent="0.3"/>
  <cols>
    <col min="1" max="1" width="9.109375" customWidth="1"/>
    <col min="2" max="2" width="18" customWidth="1"/>
    <col min="3" max="3" width="67.5546875" customWidth="1"/>
    <col min="4" max="4" width="19.44140625" customWidth="1"/>
    <col min="5" max="5" width="26.6640625" bestFit="1" customWidth="1"/>
    <col min="6" max="6" width="15.44140625" bestFit="1" customWidth="1"/>
  </cols>
  <sheetData>
    <row r="1" spans="1:7" x14ac:dyDescent="0.3">
      <c r="A1" s="159" t="s">
        <v>3</v>
      </c>
      <c r="B1" s="160"/>
      <c r="C1" s="11" t="s">
        <v>175</v>
      </c>
      <c r="D1" s="3"/>
    </row>
    <row r="2" spans="1:7" x14ac:dyDescent="0.3">
      <c r="A2" s="161" t="s">
        <v>0</v>
      </c>
      <c r="B2" s="161"/>
      <c r="C2" s="11" t="s">
        <v>142</v>
      </c>
      <c r="D2" s="3"/>
    </row>
    <row r="3" spans="1:7" x14ac:dyDescent="0.3">
      <c r="A3" s="161" t="s">
        <v>2</v>
      </c>
      <c r="B3" s="161"/>
      <c r="C3" s="11" t="s">
        <v>79</v>
      </c>
      <c r="D3" s="3"/>
    </row>
    <row r="4" spans="1:7" x14ac:dyDescent="0.3">
      <c r="A4" s="161" t="s">
        <v>1</v>
      </c>
      <c r="B4" s="161"/>
      <c r="C4" s="76">
        <v>44033</v>
      </c>
      <c r="D4" s="33"/>
    </row>
    <row r="5" spans="1:7" x14ac:dyDescent="0.3">
      <c r="A5" s="161" t="s">
        <v>41</v>
      </c>
      <c r="B5" s="161"/>
      <c r="C5" s="26">
        <v>39934</v>
      </c>
      <c r="D5" s="3"/>
    </row>
    <row r="6" spans="1:7" x14ac:dyDescent="0.3">
      <c r="A6" s="2"/>
      <c r="B6" s="2"/>
      <c r="C6" s="3"/>
      <c r="D6" s="3"/>
    </row>
    <row r="7" spans="1:7" x14ac:dyDescent="0.3">
      <c r="A7" s="7" t="s">
        <v>23</v>
      </c>
      <c r="B7" s="162" t="s">
        <v>24</v>
      </c>
      <c r="C7" s="162"/>
      <c r="D7" s="7" t="s">
        <v>11</v>
      </c>
      <c r="E7" s="29" t="s">
        <v>12</v>
      </c>
      <c r="F7" s="10" t="s">
        <v>32</v>
      </c>
    </row>
    <row r="8" spans="1:7" ht="33.75" customHeight="1" x14ac:dyDescent="0.3">
      <c r="A8" s="30">
        <v>1</v>
      </c>
      <c r="B8" s="158" t="s">
        <v>48</v>
      </c>
      <c r="C8" s="158"/>
      <c r="D8" s="8" t="s">
        <v>49</v>
      </c>
      <c r="E8" s="27"/>
      <c r="F8" s="1"/>
    </row>
    <row r="9" spans="1:7" x14ac:dyDescent="0.3">
      <c r="A9" s="30">
        <v>2</v>
      </c>
      <c r="B9" s="158" t="s">
        <v>50</v>
      </c>
      <c r="C9" s="158"/>
      <c r="D9" s="8" t="s">
        <v>51</v>
      </c>
      <c r="E9" s="27" t="s">
        <v>22</v>
      </c>
      <c r="F9" s="1"/>
    </row>
    <row r="10" spans="1:7" ht="33.75" customHeight="1" x14ac:dyDescent="0.3">
      <c r="A10" s="30">
        <v>3</v>
      </c>
      <c r="B10" s="158" t="s">
        <v>42</v>
      </c>
      <c r="C10" s="158"/>
      <c r="D10" s="8" t="s">
        <v>13</v>
      </c>
      <c r="E10" s="30"/>
      <c r="F10" s="1"/>
      <c r="G10" s="5"/>
    </row>
    <row r="11" spans="1:7" x14ac:dyDescent="0.3">
      <c r="A11" s="30">
        <v>4</v>
      </c>
      <c r="B11" s="158" t="s">
        <v>43</v>
      </c>
      <c r="C11" s="158"/>
      <c r="D11" s="8" t="s">
        <v>13</v>
      </c>
      <c r="E11" s="31" t="s">
        <v>14</v>
      </c>
      <c r="F11" s="9"/>
      <c r="G11" s="5"/>
    </row>
    <row r="12" spans="1:7" ht="28.8" x14ac:dyDescent="0.3">
      <c r="A12" s="30">
        <v>5</v>
      </c>
      <c r="B12" s="158" t="s">
        <v>44</v>
      </c>
      <c r="C12" s="158"/>
      <c r="D12" s="8" t="s">
        <v>16</v>
      </c>
      <c r="E12" s="32" t="s">
        <v>15</v>
      </c>
      <c r="F12" s="1"/>
    </row>
    <row r="13" spans="1:7" ht="28.8" x14ac:dyDescent="0.3">
      <c r="A13" s="30">
        <v>6</v>
      </c>
      <c r="B13" s="158" t="s">
        <v>45</v>
      </c>
      <c r="C13" s="158"/>
      <c r="D13" s="8" t="s">
        <v>16</v>
      </c>
      <c r="E13" s="32" t="s">
        <v>39</v>
      </c>
      <c r="F13" s="1"/>
    </row>
    <row r="14" spans="1:7" ht="50.25" customHeight="1" x14ac:dyDescent="0.3">
      <c r="A14" s="30">
        <v>7</v>
      </c>
      <c r="B14" s="158" t="s">
        <v>52</v>
      </c>
      <c r="C14" s="158"/>
      <c r="D14" s="8" t="s">
        <v>13</v>
      </c>
      <c r="E14" s="27"/>
      <c r="F14" s="1"/>
    </row>
    <row r="15" spans="1:7" ht="34.5" customHeight="1" x14ac:dyDescent="0.3">
      <c r="A15" s="30">
        <v>8</v>
      </c>
      <c r="B15" s="156" t="s">
        <v>47</v>
      </c>
      <c r="C15" s="157"/>
      <c r="D15" s="34" t="s">
        <v>16</v>
      </c>
      <c r="E15" s="32" t="s">
        <v>186</v>
      </c>
      <c r="F15" s="141"/>
    </row>
    <row r="16" spans="1:7" ht="28.8" x14ac:dyDescent="0.3">
      <c r="A16" s="81">
        <v>9</v>
      </c>
      <c r="B16" s="156" t="s">
        <v>47</v>
      </c>
      <c r="C16" s="157"/>
      <c r="D16" s="75" t="s">
        <v>16</v>
      </c>
      <c r="E16" s="27" t="s">
        <v>145</v>
      </c>
      <c r="F16" s="141"/>
    </row>
    <row r="17" spans="6:6" x14ac:dyDescent="0.3">
      <c r="F17" s="79"/>
    </row>
    <row r="18" spans="6:6" x14ac:dyDescent="0.3">
      <c r="F18" s="79"/>
    </row>
    <row r="19" spans="6:6" x14ac:dyDescent="0.3">
      <c r="F19" s="79"/>
    </row>
  </sheetData>
  <mergeCells count="15">
    <mergeCell ref="A1:B1"/>
    <mergeCell ref="A2:B2"/>
    <mergeCell ref="A4:B4"/>
    <mergeCell ref="A3:B3"/>
    <mergeCell ref="B8:C8"/>
    <mergeCell ref="A5:B5"/>
    <mergeCell ref="B7:C7"/>
    <mergeCell ref="B16:C16"/>
    <mergeCell ref="B15:C15"/>
    <mergeCell ref="B14:C14"/>
    <mergeCell ref="B9:C9"/>
    <mergeCell ref="B10:C10"/>
    <mergeCell ref="B11:C11"/>
    <mergeCell ref="B12:C12"/>
    <mergeCell ref="B13:C13"/>
  </mergeCells>
  <hyperlinks>
    <hyperlink ref="E12" location="'LDC Peak'!A1" display="LDC Peak" xr:uid="{00000000-0004-0000-0000-000000000000}"/>
    <hyperlink ref="E11" r:id="rId1" xr:uid="{00000000-0004-0000-0000-000001000000}"/>
    <hyperlink ref="E13" location="'Customer Forecast'!A1" display="Customer Forecast" xr:uid="{00000000-0004-0000-0000-000002000000}"/>
    <hyperlink ref="E9" location="TOU!A1" display="TOU" xr:uid="{00000000-0004-0000-0000-000003000000}"/>
    <hyperlink ref="E15" location="'DG for Holland TS - Tx'!A1" display="DG Peak (Holland TS - Tx)" xr:uid="{00000000-0004-0000-0000-000004000000}"/>
    <hyperlink ref="E16" location="'DG for Armitage TS - Tx'!A1" display="DG Peak (Armitage TS - Tx)" xr:uid="{00000000-0004-0000-0000-000005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79998168889431442"/>
    <pageSetUpPr fitToPage="1"/>
  </sheetPr>
  <dimension ref="A1:AX40"/>
  <sheetViews>
    <sheetView tabSelected="1" showWhiteSpace="0" zoomScaleNormal="100" workbookViewId="0">
      <selection activeCell="Q30" sqref="Q30"/>
    </sheetView>
  </sheetViews>
  <sheetFormatPr defaultColWidth="9.109375" defaultRowHeight="13.8" x14ac:dyDescent="0.3"/>
  <cols>
    <col min="1" max="1" width="1" style="36" customWidth="1"/>
    <col min="2" max="2" width="6.6640625" style="36" customWidth="1"/>
    <col min="3" max="3" width="8" style="36" customWidth="1"/>
    <col min="4" max="5" width="7.6640625" style="36" customWidth="1"/>
    <col min="6" max="6" width="10" style="36" customWidth="1"/>
    <col min="7" max="7" width="10.88671875" style="36" customWidth="1"/>
    <col min="8" max="8" width="11.5546875" style="36" customWidth="1"/>
    <col min="9" max="9" width="12.6640625" style="36" customWidth="1"/>
    <col min="10" max="10" width="11.5546875" style="36" customWidth="1"/>
    <col min="11" max="11" width="6.109375" style="36" customWidth="1"/>
    <col min="12" max="12" width="9.44140625" style="38" customWidth="1"/>
    <col min="13" max="13" width="9.88671875" style="38" customWidth="1"/>
    <col min="14" max="14" width="12.109375" style="38" customWidth="1"/>
    <col min="15" max="16" width="12.109375" style="36" customWidth="1"/>
    <col min="17" max="17" width="9.33203125" style="78" bestFit="1" customWidth="1"/>
    <col min="18" max="18" width="14.5546875" style="78" customWidth="1"/>
    <col min="19" max="19" width="14.44140625" style="78" customWidth="1"/>
    <col min="20" max="20" width="13" style="78" customWidth="1"/>
    <col min="21" max="21" width="13" style="53" customWidth="1"/>
    <col min="22" max="23" width="9.109375" style="48"/>
    <col min="24" max="50" width="9.109375" style="50"/>
    <col min="51" max="16384" width="9.109375" style="36"/>
  </cols>
  <sheetData>
    <row r="1" spans="1:48" ht="11.25" customHeight="1" x14ac:dyDescent="0.3">
      <c r="A1" s="46" t="s">
        <v>54</v>
      </c>
      <c r="B1" s="37"/>
      <c r="C1" s="37"/>
      <c r="D1" s="37"/>
      <c r="E1" s="37" t="s">
        <v>146</v>
      </c>
      <c r="F1" s="37"/>
      <c r="G1" s="37"/>
      <c r="H1" s="46" t="s">
        <v>55</v>
      </c>
      <c r="I1" s="37"/>
      <c r="J1" s="47">
        <f ca="1">TODAY()</f>
        <v>44237</v>
      </c>
      <c r="P1" s="77"/>
      <c r="Q1" s="78" t="s">
        <v>56</v>
      </c>
      <c r="R1" s="78">
        <v>1.61</v>
      </c>
      <c r="V1" s="77"/>
    </row>
    <row r="2" spans="1:48" ht="11.25" customHeight="1" x14ac:dyDescent="0.3">
      <c r="A2" s="46" t="s">
        <v>57</v>
      </c>
      <c r="B2" s="37"/>
      <c r="C2" s="37"/>
      <c r="D2" s="37"/>
      <c r="E2" s="37" t="s">
        <v>80</v>
      </c>
      <c r="F2" s="37"/>
      <c r="G2" s="37"/>
      <c r="H2" s="46" t="s">
        <v>58</v>
      </c>
      <c r="I2" s="37"/>
      <c r="J2" s="155"/>
      <c r="P2" s="77">
        <f>60*0.81</f>
        <v>48.6</v>
      </c>
      <c r="V2" s="77"/>
    </row>
    <row r="3" spans="1:48" ht="11.25" customHeight="1" x14ac:dyDescent="0.3">
      <c r="A3" s="46" t="s">
        <v>59</v>
      </c>
      <c r="B3" s="37"/>
      <c r="C3" s="37"/>
      <c r="D3" s="37"/>
      <c r="E3" s="83">
        <v>39934</v>
      </c>
      <c r="F3" s="37"/>
      <c r="G3" s="37"/>
      <c r="H3" s="46" t="s">
        <v>60</v>
      </c>
      <c r="I3" s="37"/>
      <c r="J3" s="143">
        <v>204570</v>
      </c>
      <c r="P3" s="77"/>
      <c r="V3" s="77"/>
      <c r="W3" s="77"/>
    </row>
    <row r="4" spans="1:48" ht="11.25" customHeight="1" x14ac:dyDescent="0.3">
      <c r="A4" s="46" t="s">
        <v>61</v>
      </c>
      <c r="B4" s="37"/>
      <c r="C4" s="37"/>
      <c r="D4" s="37"/>
      <c r="E4" s="142" t="s">
        <v>187</v>
      </c>
      <c r="F4" s="37"/>
      <c r="G4" s="37"/>
      <c r="H4" s="46" t="s">
        <v>62</v>
      </c>
      <c r="I4" s="37"/>
      <c r="J4" s="37"/>
      <c r="P4" s="77"/>
      <c r="V4" s="77"/>
      <c r="W4" s="77"/>
    </row>
    <row r="5" spans="1:48" ht="3.75" customHeight="1" x14ac:dyDescent="0.3">
      <c r="A5" s="49"/>
      <c r="P5" s="77"/>
      <c r="V5" s="77"/>
      <c r="W5" s="77"/>
    </row>
    <row r="6" spans="1:48" ht="23.4" customHeight="1" x14ac:dyDescent="0.3">
      <c r="B6" s="163" t="s">
        <v>63</v>
      </c>
      <c r="C6" s="163"/>
      <c r="D6" s="163"/>
      <c r="E6" s="163"/>
      <c r="F6" s="163"/>
      <c r="G6" s="163"/>
      <c r="H6" s="163"/>
      <c r="I6" s="163"/>
      <c r="J6" s="163"/>
      <c r="L6" s="164" t="s">
        <v>64</v>
      </c>
      <c r="M6" s="164"/>
      <c r="N6" s="164"/>
      <c r="O6" s="164"/>
      <c r="P6" s="84"/>
      <c r="Q6" s="74">
        <f>H14+8.4</f>
        <v>62.012199141666677</v>
      </c>
      <c r="V6" s="77"/>
      <c r="W6" s="77"/>
    </row>
    <row r="7" spans="1:48" ht="3.6" hidden="1" customHeight="1" x14ac:dyDescent="0.3">
      <c r="P7" s="77"/>
      <c r="V7" s="77"/>
      <c r="W7" s="77"/>
    </row>
    <row r="8" spans="1:48" ht="95.4" customHeight="1" x14ac:dyDescent="0.3">
      <c r="B8" s="68" t="s">
        <v>65</v>
      </c>
      <c r="C8" s="68" t="s">
        <v>66</v>
      </c>
      <c r="D8" s="68" t="s">
        <v>67</v>
      </c>
      <c r="E8" s="68" t="s">
        <v>68</v>
      </c>
      <c r="F8" s="68" t="s">
        <v>69</v>
      </c>
      <c r="G8" s="68" t="s">
        <v>147</v>
      </c>
      <c r="H8" s="68" t="s">
        <v>148</v>
      </c>
      <c r="I8" s="69" t="s">
        <v>149</v>
      </c>
      <c r="J8" s="68" t="s">
        <v>150</v>
      </c>
      <c r="L8" s="70" t="s">
        <v>70</v>
      </c>
      <c r="M8" s="70" t="s">
        <v>81</v>
      </c>
      <c r="N8" s="71" t="s">
        <v>82</v>
      </c>
      <c r="O8" s="71" t="s">
        <v>83</v>
      </c>
      <c r="P8" s="85"/>
      <c r="Q8" s="51" t="s">
        <v>65</v>
      </c>
      <c r="R8" s="51" t="s">
        <v>66</v>
      </c>
      <c r="S8" s="52" t="s">
        <v>71</v>
      </c>
      <c r="T8" s="52" t="s">
        <v>72</v>
      </c>
      <c r="U8" s="52" t="s">
        <v>84</v>
      </c>
      <c r="V8" s="77"/>
      <c r="W8" s="77"/>
      <c r="AF8" s="42"/>
      <c r="AG8" s="42"/>
      <c r="AH8" s="42"/>
    </row>
    <row r="9" spans="1:48" ht="15.6" x14ac:dyDescent="0.35">
      <c r="B9" s="55">
        <v>1</v>
      </c>
      <c r="C9" s="55">
        <v>2010</v>
      </c>
      <c r="D9" s="55" t="s">
        <v>85</v>
      </c>
      <c r="E9" s="55" t="s">
        <v>86</v>
      </c>
      <c r="F9" s="55" t="s">
        <v>73</v>
      </c>
      <c r="G9" s="86">
        <f>'Load Analysis'!J5</f>
        <v>30.996750000000002</v>
      </c>
      <c r="H9" s="86">
        <f>'Load Analysis'!O5</f>
        <v>37.799750000000003</v>
      </c>
      <c r="I9" s="87">
        <f t="shared" ref="I9:I33" si="0">IF(G9-H9&lt;0,0,G9-H9)</f>
        <v>0</v>
      </c>
      <c r="J9" s="39">
        <f t="shared" ref="J9:J33" si="1">I9*$R$1*12</f>
        <v>0</v>
      </c>
      <c r="L9" s="88">
        <f>I9</f>
        <v>0</v>
      </c>
      <c r="M9" s="88">
        <v>26.53904180467978</v>
      </c>
      <c r="N9" s="89">
        <f t="shared" ref="N9:N33" si="2">L9-M9</f>
        <v>-26.53904180467978</v>
      </c>
      <c r="O9" s="56">
        <f t="shared" ref="O9:O33" si="3">N9*12*$R$1</f>
        <v>-512.73428766641337</v>
      </c>
      <c r="P9" s="90"/>
      <c r="Q9" s="53">
        <v>1</v>
      </c>
      <c r="R9" s="53">
        <v>2010</v>
      </c>
      <c r="S9" s="54">
        <v>26.53904180467978</v>
      </c>
      <c r="T9" s="54">
        <f t="shared" ref="T9:T34" si="4">L9</f>
        <v>0</v>
      </c>
      <c r="U9" s="54"/>
      <c r="V9" s="77"/>
      <c r="W9" s="77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</row>
    <row r="10" spans="1:48" x14ac:dyDescent="0.3">
      <c r="B10" s="55">
        <v>2</v>
      </c>
      <c r="C10" s="55">
        <v>2011</v>
      </c>
      <c r="D10" s="55" t="s">
        <v>87</v>
      </c>
      <c r="E10" s="55" t="s">
        <v>88</v>
      </c>
      <c r="F10" s="55" t="s">
        <v>73</v>
      </c>
      <c r="G10" s="86">
        <f>'Load Analysis'!J17</f>
        <v>49.052500000000002</v>
      </c>
      <c r="H10" s="86">
        <f>'Load Analysis'!O17</f>
        <v>46.822083333333353</v>
      </c>
      <c r="I10" s="87">
        <f t="shared" si="0"/>
        <v>2.230416666666649</v>
      </c>
      <c r="J10" s="39">
        <f t="shared" si="1"/>
        <v>43.09164999999966</v>
      </c>
      <c r="L10" s="88">
        <f>I10</f>
        <v>2.230416666666649</v>
      </c>
      <c r="M10" s="88">
        <v>31.194214417535562</v>
      </c>
      <c r="N10" s="89">
        <f t="shared" si="2"/>
        <v>-28.963797750868913</v>
      </c>
      <c r="O10" s="56">
        <f t="shared" si="3"/>
        <v>-559.58057254678749</v>
      </c>
      <c r="P10" s="90"/>
      <c r="Q10" s="53">
        <v>2</v>
      </c>
      <c r="R10" s="53">
        <v>2011</v>
      </c>
      <c r="S10" s="54">
        <v>31.194214417535562</v>
      </c>
      <c r="T10" s="54">
        <f t="shared" si="4"/>
        <v>2.230416666666649</v>
      </c>
      <c r="U10" s="54"/>
      <c r="V10" s="77"/>
      <c r="W10" s="77"/>
      <c r="AF10" s="42"/>
      <c r="AG10" s="42"/>
      <c r="AH10" s="42"/>
    </row>
    <row r="11" spans="1:48" x14ac:dyDescent="0.3">
      <c r="B11" s="55">
        <v>3</v>
      </c>
      <c r="C11" s="55">
        <v>2012</v>
      </c>
      <c r="D11" s="55" t="s">
        <v>89</v>
      </c>
      <c r="E11" s="55" t="s">
        <v>90</v>
      </c>
      <c r="F11" s="55" t="s">
        <v>73</v>
      </c>
      <c r="G11" s="86">
        <f>'Load Analysis'!J29</f>
        <v>51.799250000000008</v>
      </c>
      <c r="H11" s="86">
        <f>'Load Analysis'!O29</f>
        <v>53.097083333333337</v>
      </c>
      <c r="I11" s="87">
        <f t="shared" si="0"/>
        <v>0</v>
      </c>
      <c r="J11" s="39">
        <f t="shared" si="1"/>
        <v>0</v>
      </c>
      <c r="L11" s="88">
        <f>I11</f>
        <v>0</v>
      </c>
      <c r="M11" s="88">
        <v>36.147073047492192</v>
      </c>
      <c r="N11" s="89">
        <f t="shared" si="2"/>
        <v>-36.147073047492192</v>
      </c>
      <c r="O11" s="56">
        <f t="shared" si="3"/>
        <v>-698.36145127754912</v>
      </c>
      <c r="P11" s="90"/>
      <c r="Q11" s="53">
        <v>3</v>
      </c>
      <c r="R11" s="53">
        <v>2012</v>
      </c>
      <c r="S11" s="54">
        <v>36.147073047492192</v>
      </c>
      <c r="T11" s="54">
        <f t="shared" si="4"/>
        <v>0</v>
      </c>
      <c r="U11" s="54"/>
      <c r="V11" s="77"/>
      <c r="W11" s="77"/>
      <c r="AF11" s="42"/>
      <c r="AG11" s="42"/>
      <c r="AH11" s="42"/>
    </row>
    <row r="12" spans="1:48" x14ac:dyDescent="0.3">
      <c r="B12" s="55">
        <v>4</v>
      </c>
      <c r="C12" s="55">
        <v>2013</v>
      </c>
      <c r="D12" s="55" t="s">
        <v>91</v>
      </c>
      <c r="E12" s="55" t="s">
        <v>92</v>
      </c>
      <c r="F12" s="55" t="s">
        <v>73</v>
      </c>
      <c r="G12" s="86">
        <f>'Load Analysis'!J41</f>
        <v>49.311916666666669</v>
      </c>
      <c r="H12" s="86">
        <f>'Load Analysis'!O41</f>
        <v>49.986666666666679</v>
      </c>
      <c r="I12" s="87">
        <f t="shared" si="0"/>
        <v>0</v>
      </c>
      <c r="J12" s="39">
        <f t="shared" si="1"/>
        <v>0</v>
      </c>
      <c r="K12" s="50"/>
      <c r="L12" s="88">
        <f>I12</f>
        <v>0</v>
      </c>
      <c r="M12" s="88">
        <v>41.047881361018788</v>
      </c>
      <c r="N12" s="89">
        <f t="shared" si="2"/>
        <v>-41.047881361018788</v>
      </c>
      <c r="O12" s="56">
        <f t="shared" si="3"/>
        <v>-793.045067894883</v>
      </c>
      <c r="P12" s="90"/>
      <c r="Q12" s="53">
        <v>4</v>
      </c>
      <c r="R12" s="53">
        <v>2013</v>
      </c>
      <c r="S12" s="54">
        <v>41.047881361018788</v>
      </c>
      <c r="T12" s="54">
        <f t="shared" si="4"/>
        <v>0</v>
      </c>
      <c r="U12" s="54"/>
      <c r="V12" s="77"/>
      <c r="W12" s="77"/>
      <c r="AF12" s="42"/>
      <c r="AG12" s="42"/>
      <c r="AH12" s="42"/>
    </row>
    <row r="13" spans="1:48" x14ac:dyDescent="0.3">
      <c r="B13" s="55">
        <v>5</v>
      </c>
      <c r="C13" s="55">
        <v>2014</v>
      </c>
      <c r="D13" s="55" t="s">
        <v>93</v>
      </c>
      <c r="E13" s="55" t="s">
        <v>94</v>
      </c>
      <c r="F13" s="55" t="s">
        <v>73</v>
      </c>
      <c r="G13" s="86">
        <f>'Load Analysis'!J53</f>
        <v>53.798916666666663</v>
      </c>
      <c r="H13" s="86">
        <f>'Load Analysis'!O53</f>
        <v>48.694083333333339</v>
      </c>
      <c r="I13" s="87">
        <f t="shared" si="0"/>
        <v>5.1048333333333247</v>
      </c>
      <c r="J13" s="39">
        <f t="shared" si="1"/>
        <v>98.625379999999836</v>
      </c>
      <c r="K13" s="73" t="s">
        <v>74</v>
      </c>
      <c r="L13" s="88">
        <f>I13</f>
        <v>5.1048333333333247</v>
      </c>
      <c r="M13" s="88">
        <v>45.952880129666141</v>
      </c>
      <c r="N13" s="89">
        <f t="shared" si="2"/>
        <v>-40.848046796332817</v>
      </c>
      <c r="O13" s="56">
        <f t="shared" si="3"/>
        <v>-789.18426410514996</v>
      </c>
      <c r="P13" s="90"/>
      <c r="Q13" s="53">
        <v>5</v>
      </c>
      <c r="R13" s="53">
        <v>2014</v>
      </c>
      <c r="S13" s="54">
        <v>45.952880129666141</v>
      </c>
      <c r="T13" s="54">
        <f t="shared" si="4"/>
        <v>5.1048333333333247</v>
      </c>
      <c r="U13" s="54">
        <f>T13</f>
        <v>5.1048333333333247</v>
      </c>
      <c r="V13" s="78"/>
      <c r="W13" s="77"/>
      <c r="AF13" s="42"/>
      <c r="AG13" s="42"/>
      <c r="AH13" s="42"/>
    </row>
    <row r="14" spans="1:48" x14ac:dyDescent="0.3">
      <c r="B14" s="55">
        <v>6</v>
      </c>
      <c r="C14" s="55">
        <v>2015</v>
      </c>
      <c r="D14" s="55" t="s">
        <v>95</v>
      </c>
      <c r="E14" s="55" t="s">
        <v>96</v>
      </c>
      <c r="F14" s="55" t="s">
        <v>73</v>
      </c>
      <c r="G14" s="86">
        <f>'Load Analysis'!J65</f>
        <v>48.939200300000003</v>
      </c>
      <c r="H14" s="86">
        <f>'Load Analysis'!O65</f>
        <v>53.612199141666679</v>
      </c>
      <c r="I14" s="87">
        <f t="shared" si="0"/>
        <v>0</v>
      </c>
      <c r="J14" s="39">
        <f t="shared" si="1"/>
        <v>0</v>
      </c>
      <c r="K14" s="50"/>
      <c r="L14" s="88">
        <f t="shared" ref="L14:L33" si="5">U14</f>
        <v>14.174999999999997</v>
      </c>
      <c r="M14" s="88">
        <v>50.923686066441569</v>
      </c>
      <c r="N14" s="89">
        <f t="shared" si="2"/>
        <v>-36.748686066441572</v>
      </c>
      <c r="O14" s="56">
        <f t="shared" si="3"/>
        <v>-709.9846148036512</v>
      </c>
      <c r="P14" s="90"/>
      <c r="Q14" s="53">
        <v>6</v>
      </c>
      <c r="R14" s="53">
        <v>2015</v>
      </c>
      <c r="S14" s="57">
        <v>50.923686066441569</v>
      </c>
      <c r="T14" s="54">
        <f t="shared" si="4"/>
        <v>14.174999999999997</v>
      </c>
      <c r="U14" s="57">
        <v>14.174999999999997</v>
      </c>
      <c r="V14" s="91"/>
      <c r="W14" s="77"/>
      <c r="AF14" s="42"/>
      <c r="AG14" s="42"/>
      <c r="AH14" s="42"/>
    </row>
    <row r="15" spans="1:48" x14ac:dyDescent="0.3">
      <c r="B15" s="55">
        <v>7</v>
      </c>
      <c r="C15" s="55">
        <v>2016</v>
      </c>
      <c r="D15" s="55" t="s">
        <v>97</v>
      </c>
      <c r="E15" s="55" t="s">
        <v>98</v>
      </c>
      <c r="F15" s="55" t="s">
        <v>73</v>
      </c>
      <c r="G15" s="86">
        <f>'Load Analysis'!J77</f>
        <v>48.474766741666656</v>
      </c>
      <c r="H15" s="86">
        <f>'Load Analysis'!O77</f>
        <v>54.812024474999994</v>
      </c>
      <c r="I15" s="87">
        <f t="shared" si="0"/>
        <v>0</v>
      </c>
      <c r="J15" s="39">
        <f t="shared" si="1"/>
        <v>0</v>
      </c>
      <c r="L15" s="88">
        <f t="shared" si="5"/>
        <v>16.766999999999996</v>
      </c>
      <c r="M15" s="88">
        <v>54.403049048429473</v>
      </c>
      <c r="N15" s="89">
        <f t="shared" si="2"/>
        <v>-37.636049048429477</v>
      </c>
      <c r="O15" s="56">
        <f t="shared" si="3"/>
        <v>-727.12846761565754</v>
      </c>
      <c r="P15" s="90"/>
      <c r="Q15" s="53">
        <v>7</v>
      </c>
      <c r="R15" s="53">
        <v>2016</v>
      </c>
      <c r="S15" s="57">
        <v>54.403049048429473</v>
      </c>
      <c r="T15" s="54">
        <f t="shared" si="4"/>
        <v>16.766999999999996</v>
      </c>
      <c r="U15" s="57">
        <v>16.766999999999996</v>
      </c>
      <c r="V15" s="91"/>
      <c r="W15" s="77"/>
      <c r="AF15" s="42"/>
      <c r="AG15" s="42"/>
      <c r="AH15" s="42"/>
    </row>
    <row r="16" spans="1:48" x14ac:dyDescent="0.3">
      <c r="B16" s="55">
        <v>8</v>
      </c>
      <c r="C16" s="55">
        <v>2017</v>
      </c>
      <c r="D16" s="55" t="s">
        <v>99</v>
      </c>
      <c r="E16" s="55" t="s">
        <v>100</v>
      </c>
      <c r="F16" s="55" t="s">
        <v>73</v>
      </c>
      <c r="G16" s="86">
        <f>'Load Analysis'!J89</f>
        <v>46.256654250000004</v>
      </c>
      <c r="H16" s="86">
        <f>'Load Analysis'!O89</f>
        <v>51.664657925000007</v>
      </c>
      <c r="I16" s="87">
        <f t="shared" si="0"/>
        <v>0</v>
      </c>
      <c r="J16" s="39">
        <f t="shared" si="1"/>
        <v>0</v>
      </c>
      <c r="L16" s="88">
        <f t="shared" si="5"/>
        <v>19.359000000000009</v>
      </c>
      <c r="M16" s="88">
        <v>54.56076505569763</v>
      </c>
      <c r="N16" s="89">
        <f t="shared" si="2"/>
        <v>-35.201765055697621</v>
      </c>
      <c r="O16" s="56">
        <f t="shared" si="3"/>
        <v>-680.09810087607809</v>
      </c>
      <c r="P16" s="90"/>
      <c r="Q16" s="58">
        <v>8</v>
      </c>
      <c r="R16" s="53">
        <v>2017</v>
      </c>
      <c r="S16" s="57">
        <v>54.56076505569763</v>
      </c>
      <c r="T16" s="54">
        <f t="shared" si="4"/>
        <v>19.359000000000009</v>
      </c>
      <c r="U16" s="57">
        <v>19.359000000000009</v>
      </c>
      <c r="V16" s="91"/>
      <c r="W16" s="77"/>
      <c r="AF16" s="42"/>
      <c r="AG16" s="42"/>
      <c r="AH16" s="42"/>
    </row>
    <row r="17" spans="2:34" x14ac:dyDescent="0.3">
      <c r="B17" s="55">
        <v>9</v>
      </c>
      <c r="C17" s="55">
        <v>2018</v>
      </c>
      <c r="D17" s="55" t="s">
        <v>101</v>
      </c>
      <c r="E17" s="55" t="s">
        <v>102</v>
      </c>
      <c r="F17" s="55" t="s">
        <v>73</v>
      </c>
      <c r="G17" s="86">
        <f>'Load Analysis'!J101</f>
        <v>42.911313966666661</v>
      </c>
      <c r="H17" s="86">
        <f>'Load Analysis'!O101</f>
        <v>52.358283208333326</v>
      </c>
      <c r="I17" s="87">
        <f t="shared" si="0"/>
        <v>0</v>
      </c>
      <c r="J17" s="39">
        <f t="shared" si="1"/>
        <v>0</v>
      </c>
      <c r="L17" s="88">
        <f t="shared" si="5"/>
        <v>21.950999999999993</v>
      </c>
      <c r="M17" s="88">
        <v>54.56076505569763</v>
      </c>
      <c r="N17" s="89">
        <f t="shared" si="2"/>
        <v>-32.609765055697636</v>
      </c>
      <c r="O17" s="56">
        <f t="shared" si="3"/>
        <v>-630.02066087607841</v>
      </c>
      <c r="P17" s="90"/>
      <c r="Q17" s="53">
        <v>9</v>
      </c>
      <c r="R17" s="53">
        <v>2018</v>
      </c>
      <c r="S17" s="57">
        <v>54.56076505569763</v>
      </c>
      <c r="T17" s="54">
        <f t="shared" si="4"/>
        <v>21.950999999999993</v>
      </c>
      <c r="U17" s="57">
        <v>21.950999999999993</v>
      </c>
      <c r="V17" s="91"/>
      <c r="W17" s="77"/>
      <c r="AF17" s="42"/>
      <c r="AG17" s="42"/>
      <c r="AH17" s="42"/>
    </row>
    <row r="18" spans="2:34" x14ac:dyDescent="0.3">
      <c r="B18" s="55">
        <v>10</v>
      </c>
      <c r="C18" s="55">
        <v>2019</v>
      </c>
      <c r="D18" s="55" t="s">
        <v>103</v>
      </c>
      <c r="E18" s="55" t="s">
        <v>104</v>
      </c>
      <c r="F18" s="55" t="s">
        <v>73</v>
      </c>
      <c r="G18" s="86">
        <f>'Load Analysis'!J113</f>
        <v>48.478300791666669</v>
      </c>
      <c r="H18" s="86">
        <f>'Load Analysis'!O113</f>
        <v>48.514019791666669</v>
      </c>
      <c r="I18" s="87">
        <f t="shared" si="0"/>
        <v>0</v>
      </c>
      <c r="J18" s="39">
        <f t="shared" si="1"/>
        <v>0</v>
      </c>
      <c r="K18" s="73" t="s">
        <v>75</v>
      </c>
      <c r="L18" s="88">
        <f t="shared" si="5"/>
        <v>24.705000000000013</v>
      </c>
      <c r="M18" s="88">
        <v>54.56076505569763</v>
      </c>
      <c r="N18" s="89">
        <f t="shared" si="2"/>
        <v>-29.855765055697617</v>
      </c>
      <c r="O18" s="56">
        <f t="shared" si="3"/>
        <v>-576.81338087607799</v>
      </c>
      <c r="P18" s="90"/>
      <c r="Q18" s="53">
        <v>10</v>
      </c>
      <c r="R18" s="53">
        <v>2019</v>
      </c>
      <c r="S18" s="57">
        <v>54.56076505569763</v>
      </c>
      <c r="T18" s="54">
        <f t="shared" si="4"/>
        <v>24.705000000000013</v>
      </c>
      <c r="U18" s="57">
        <v>24.705000000000013</v>
      </c>
      <c r="V18" s="91"/>
      <c r="W18" s="77"/>
      <c r="AF18" s="42"/>
      <c r="AG18" s="42"/>
      <c r="AH18" s="42"/>
    </row>
    <row r="19" spans="2:34" x14ac:dyDescent="0.3">
      <c r="B19" s="55">
        <v>11</v>
      </c>
      <c r="C19" s="55">
        <v>2020</v>
      </c>
      <c r="D19" s="55" t="s">
        <v>105</v>
      </c>
      <c r="E19" s="55" t="s">
        <v>106</v>
      </c>
      <c r="F19" s="55" t="s">
        <v>73</v>
      </c>
      <c r="G19" s="86">
        <f>'Load Analysis'!J125</f>
        <v>42.045013524999995</v>
      </c>
      <c r="H19" s="86">
        <f>'Load Analysis'!O125</f>
        <v>55.165552433333346</v>
      </c>
      <c r="I19" s="87">
        <f t="shared" si="0"/>
        <v>0</v>
      </c>
      <c r="J19" s="39">
        <f t="shared" si="1"/>
        <v>0</v>
      </c>
      <c r="L19" s="88">
        <f t="shared" si="5"/>
        <v>27.459000000000003</v>
      </c>
      <c r="M19" s="88">
        <v>54.56076505569763</v>
      </c>
      <c r="N19" s="89">
        <f t="shared" si="2"/>
        <v>-27.101765055697626</v>
      </c>
      <c r="O19" s="56">
        <f t="shared" si="3"/>
        <v>-523.60610087607813</v>
      </c>
      <c r="P19" s="92"/>
      <c r="Q19" s="53">
        <v>11</v>
      </c>
      <c r="R19" s="53">
        <v>2020</v>
      </c>
      <c r="S19" s="57">
        <v>54.56076505569763</v>
      </c>
      <c r="T19" s="54">
        <f t="shared" si="4"/>
        <v>27.459000000000003</v>
      </c>
      <c r="U19" s="57">
        <v>27.459000000000003</v>
      </c>
      <c r="V19" s="91"/>
      <c r="W19" s="77"/>
      <c r="AF19" s="42"/>
      <c r="AG19" s="42"/>
      <c r="AH19" s="42"/>
    </row>
    <row r="20" spans="2:34" x14ac:dyDescent="0.3">
      <c r="B20" s="55">
        <v>12</v>
      </c>
      <c r="C20" s="55">
        <v>2021</v>
      </c>
      <c r="D20" s="55" t="s">
        <v>107</v>
      </c>
      <c r="E20" s="55" t="s">
        <v>108</v>
      </c>
      <c r="F20" s="55" t="s">
        <v>151</v>
      </c>
      <c r="G20" s="86">
        <f>'Customer Forecast'!D24</f>
        <v>52.393499999999996</v>
      </c>
      <c r="H20" s="86">
        <f>'Customer Forecast'!C24</f>
        <v>49.288500000000013</v>
      </c>
      <c r="I20" s="87">
        <f t="shared" si="0"/>
        <v>3.1049999999999827</v>
      </c>
      <c r="J20" s="39">
        <f t="shared" si="1"/>
        <v>59.988599999999664</v>
      </c>
      <c r="L20" s="88">
        <f t="shared" si="5"/>
        <v>28.188000000000017</v>
      </c>
      <c r="M20" s="88">
        <v>54.56076505569763</v>
      </c>
      <c r="N20" s="89">
        <f t="shared" si="2"/>
        <v>-26.372765055697613</v>
      </c>
      <c r="O20" s="56">
        <f t="shared" si="3"/>
        <v>-509.52182087607792</v>
      </c>
      <c r="P20" s="92"/>
      <c r="Q20" s="53">
        <v>12</v>
      </c>
      <c r="R20" s="53">
        <v>2021</v>
      </c>
      <c r="S20" s="57">
        <v>54.56076505569763</v>
      </c>
      <c r="T20" s="54">
        <f t="shared" si="4"/>
        <v>28.188000000000017</v>
      </c>
      <c r="U20" s="57">
        <v>28.188000000000017</v>
      </c>
      <c r="V20" s="91"/>
      <c r="W20" s="77"/>
      <c r="AF20" s="42"/>
      <c r="AG20" s="42"/>
      <c r="AH20" s="42"/>
    </row>
    <row r="21" spans="2:34" x14ac:dyDescent="0.3">
      <c r="B21" s="55">
        <v>13</v>
      </c>
      <c r="C21" s="55">
        <v>2022</v>
      </c>
      <c r="D21" s="55" t="s">
        <v>109</v>
      </c>
      <c r="E21" s="55" t="s">
        <v>110</v>
      </c>
      <c r="F21" s="55" t="s">
        <v>151</v>
      </c>
      <c r="G21" s="86">
        <f>'Customer Forecast'!D25</f>
        <v>52.717499999999994</v>
      </c>
      <c r="H21" s="86">
        <f>'Customer Forecast'!C25</f>
        <v>48.802500000000009</v>
      </c>
      <c r="I21" s="87">
        <f t="shared" si="0"/>
        <v>3.9149999999999849</v>
      </c>
      <c r="J21" s="39">
        <f t="shared" si="1"/>
        <v>75.637799999999714</v>
      </c>
      <c r="L21" s="88">
        <f t="shared" si="5"/>
        <v>28.836000000000013</v>
      </c>
      <c r="M21" s="88">
        <v>54.56076505569763</v>
      </c>
      <c r="N21" s="89">
        <f t="shared" si="2"/>
        <v>-25.724765055697617</v>
      </c>
      <c r="O21" s="56">
        <f t="shared" si="3"/>
        <v>-497.00246087607798</v>
      </c>
      <c r="P21" s="92"/>
      <c r="Q21" s="53">
        <v>13</v>
      </c>
      <c r="R21" s="53">
        <v>2022</v>
      </c>
      <c r="S21" s="57">
        <v>54.56076505569763</v>
      </c>
      <c r="T21" s="54">
        <f t="shared" si="4"/>
        <v>28.836000000000013</v>
      </c>
      <c r="U21" s="57">
        <v>28.836000000000013</v>
      </c>
      <c r="V21" s="91"/>
      <c r="W21" s="77"/>
      <c r="AF21" s="42"/>
      <c r="AG21" s="42"/>
      <c r="AH21" s="42"/>
    </row>
    <row r="22" spans="2:34" x14ac:dyDescent="0.3">
      <c r="B22" s="55">
        <v>14</v>
      </c>
      <c r="C22" s="55">
        <v>2023</v>
      </c>
      <c r="D22" s="55" t="s">
        <v>111</v>
      </c>
      <c r="E22" s="55" t="s">
        <v>112</v>
      </c>
      <c r="F22" s="55" t="s">
        <v>151</v>
      </c>
      <c r="G22" s="86">
        <f>'Customer Forecast'!D26</f>
        <v>53.041499999999999</v>
      </c>
      <c r="H22" s="86">
        <f>'Customer Forecast'!C26</f>
        <v>48.316500000000019</v>
      </c>
      <c r="I22" s="87">
        <f t="shared" si="0"/>
        <v>4.7249999999999801</v>
      </c>
      <c r="J22" s="39">
        <f t="shared" si="1"/>
        <v>91.286999999999622</v>
      </c>
      <c r="L22" s="88">
        <f t="shared" si="5"/>
        <v>29.564999999999998</v>
      </c>
      <c r="M22" s="88">
        <v>54.56076505569763</v>
      </c>
      <c r="N22" s="89">
        <f t="shared" si="2"/>
        <v>-24.995765055697632</v>
      </c>
      <c r="O22" s="56">
        <f t="shared" si="3"/>
        <v>-482.91818087607828</v>
      </c>
      <c r="P22" s="92"/>
      <c r="Q22" s="53">
        <v>14</v>
      </c>
      <c r="R22" s="53">
        <v>2023</v>
      </c>
      <c r="S22" s="57">
        <v>54.56076505569763</v>
      </c>
      <c r="T22" s="54">
        <f t="shared" si="4"/>
        <v>29.564999999999998</v>
      </c>
      <c r="U22" s="57">
        <v>29.564999999999998</v>
      </c>
      <c r="V22" s="91"/>
      <c r="W22" s="77"/>
      <c r="AF22" s="42"/>
      <c r="AG22" s="42"/>
      <c r="AH22" s="42"/>
    </row>
    <row r="23" spans="2:34" x14ac:dyDescent="0.3">
      <c r="B23" s="55">
        <v>15</v>
      </c>
      <c r="C23" s="55">
        <v>2024</v>
      </c>
      <c r="D23" s="55" t="s">
        <v>113</v>
      </c>
      <c r="E23" s="55" t="s">
        <v>114</v>
      </c>
      <c r="F23" s="55" t="s">
        <v>151</v>
      </c>
      <c r="G23" s="86">
        <f>'Customer Forecast'!D27</f>
        <v>53.365499999999997</v>
      </c>
      <c r="H23" s="86">
        <f>'Customer Forecast'!C27</f>
        <v>47.830500000000029</v>
      </c>
      <c r="I23" s="87">
        <f t="shared" si="0"/>
        <v>5.5349999999999682</v>
      </c>
      <c r="J23" s="39">
        <f t="shared" si="1"/>
        <v>106.93619999999939</v>
      </c>
      <c r="K23" s="73" t="s">
        <v>76</v>
      </c>
      <c r="L23" s="88">
        <f t="shared" si="5"/>
        <v>30.294000000000011</v>
      </c>
      <c r="M23" s="88">
        <v>54.56076505569763</v>
      </c>
      <c r="N23" s="89">
        <f t="shared" si="2"/>
        <v>-24.266765055697618</v>
      </c>
      <c r="O23" s="56">
        <f t="shared" si="3"/>
        <v>-468.83390087607802</v>
      </c>
      <c r="P23" s="92"/>
      <c r="Q23" s="53">
        <v>15</v>
      </c>
      <c r="R23" s="53">
        <v>2024</v>
      </c>
      <c r="S23" s="57">
        <v>54.56076505569763</v>
      </c>
      <c r="T23" s="54">
        <f t="shared" si="4"/>
        <v>30.294000000000011</v>
      </c>
      <c r="U23" s="57">
        <v>30.294000000000011</v>
      </c>
      <c r="V23" s="91"/>
      <c r="W23" s="77"/>
      <c r="AF23" s="42"/>
      <c r="AG23" s="42"/>
      <c r="AH23" s="42"/>
    </row>
    <row r="24" spans="2:34" x14ac:dyDescent="0.3">
      <c r="B24" s="55">
        <v>16</v>
      </c>
      <c r="C24" s="55">
        <v>2025</v>
      </c>
      <c r="D24" s="55" t="s">
        <v>115</v>
      </c>
      <c r="E24" s="55" t="s">
        <v>116</v>
      </c>
      <c r="F24" s="55" t="s">
        <v>151</v>
      </c>
      <c r="G24" s="86">
        <f>'Customer Forecast'!D28</f>
        <v>53.68950000000001</v>
      </c>
      <c r="H24" s="86">
        <f>'Customer Forecast'!C28</f>
        <v>47.344500000000025</v>
      </c>
      <c r="I24" s="87">
        <f t="shared" si="0"/>
        <v>6.3449999999999847</v>
      </c>
      <c r="J24" s="39">
        <f t="shared" si="1"/>
        <v>122.58539999999971</v>
      </c>
      <c r="L24" s="88">
        <f t="shared" si="5"/>
        <v>31.023000000000025</v>
      </c>
      <c r="M24" s="88">
        <v>54.56076505569763</v>
      </c>
      <c r="N24" s="89">
        <f t="shared" si="2"/>
        <v>-23.537765055697605</v>
      </c>
      <c r="O24" s="56">
        <f t="shared" si="3"/>
        <v>-454.74962087607776</v>
      </c>
      <c r="P24" s="92"/>
      <c r="Q24" s="53">
        <v>16</v>
      </c>
      <c r="R24" s="53">
        <v>2025</v>
      </c>
      <c r="S24" s="57">
        <v>54.56076505569763</v>
      </c>
      <c r="T24" s="54">
        <f t="shared" si="4"/>
        <v>31.023000000000025</v>
      </c>
      <c r="U24" s="57">
        <v>31.023000000000025</v>
      </c>
      <c r="V24" s="91"/>
      <c r="W24" s="77"/>
      <c r="AF24" s="42"/>
      <c r="AG24" s="42"/>
      <c r="AH24" s="42"/>
    </row>
    <row r="25" spans="2:34" x14ac:dyDescent="0.3">
      <c r="B25" s="55">
        <v>17</v>
      </c>
      <c r="C25" s="55">
        <v>2026</v>
      </c>
      <c r="D25" s="55" t="s">
        <v>117</v>
      </c>
      <c r="E25" s="55" t="s">
        <v>118</v>
      </c>
      <c r="F25" s="55" t="s">
        <v>151</v>
      </c>
      <c r="G25" s="86">
        <f>'Customer Forecast'!D29</f>
        <v>54.013500000000008</v>
      </c>
      <c r="H25" s="86">
        <f>'Customer Forecast'!C29</f>
        <v>46.858500000000035</v>
      </c>
      <c r="I25" s="87">
        <f t="shared" si="0"/>
        <v>7.1549999999999727</v>
      </c>
      <c r="J25" s="39">
        <f t="shared" si="1"/>
        <v>138.23459999999949</v>
      </c>
      <c r="L25" s="88">
        <f t="shared" si="5"/>
        <v>31.751999999999981</v>
      </c>
      <c r="M25" s="88">
        <v>54.56076505569763</v>
      </c>
      <c r="N25" s="89">
        <f t="shared" si="2"/>
        <v>-22.808765055697648</v>
      </c>
      <c r="O25" s="56">
        <f t="shared" si="3"/>
        <v>-440.66534087607857</v>
      </c>
      <c r="P25" s="92"/>
      <c r="Q25" s="53">
        <v>17</v>
      </c>
      <c r="R25" s="53">
        <v>2026</v>
      </c>
      <c r="S25" s="57">
        <v>54.56076505569763</v>
      </c>
      <c r="T25" s="54">
        <f t="shared" si="4"/>
        <v>31.751999999999981</v>
      </c>
      <c r="U25" s="57">
        <v>31.751999999999981</v>
      </c>
      <c r="V25" s="91"/>
      <c r="W25" s="77"/>
      <c r="AF25" s="42"/>
      <c r="AG25" s="42"/>
      <c r="AH25" s="42"/>
    </row>
    <row r="26" spans="2:34" x14ac:dyDescent="0.3">
      <c r="B26" s="55">
        <v>18</v>
      </c>
      <c r="C26" s="55">
        <v>2027</v>
      </c>
      <c r="D26" s="55" t="s">
        <v>119</v>
      </c>
      <c r="E26" s="55" t="s">
        <v>120</v>
      </c>
      <c r="F26" s="55" t="s">
        <v>151</v>
      </c>
      <c r="G26" s="86">
        <f>'Customer Forecast'!D30</f>
        <v>54.337500000000013</v>
      </c>
      <c r="H26" s="86">
        <f>'Customer Forecast'!C30</f>
        <v>46.372500000000031</v>
      </c>
      <c r="I26" s="87">
        <f t="shared" si="0"/>
        <v>7.9649999999999821</v>
      </c>
      <c r="J26" s="39">
        <f t="shared" si="1"/>
        <v>153.88379999999967</v>
      </c>
      <c r="L26" s="88">
        <f t="shared" si="5"/>
        <v>32.480999999999995</v>
      </c>
      <c r="M26" s="88">
        <v>54.56076505569763</v>
      </c>
      <c r="N26" s="89">
        <f t="shared" si="2"/>
        <v>-22.079765055697635</v>
      </c>
      <c r="O26" s="56">
        <f t="shared" si="3"/>
        <v>-426.58106087607831</v>
      </c>
      <c r="P26" s="92"/>
      <c r="Q26" s="53">
        <v>18</v>
      </c>
      <c r="R26" s="53">
        <v>2027</v>
      </c>
      <c r="S26" s="57">
        <v>54.56076505569763</v>
      </c>
      <c r="T26" s="54">
        <f t="shared" si="4"/>
        <v>32.480999999999995</v>
      </c>
      <c r="U26" s="57">
        <v>32.480999999999995</v>
      </c>
      <c r="V26" s="91"/>
      <c r="W26" s="77"/>
      <c r="AF26" s="42"/>
      <c r="AG26" s="42"/>
      <c r="AH26" s="42"/>
    </row>
    <row r="27" spans="2:34" x14ac:dyDescent="0.3">
      <c r="B27" s="55">
        <v>19</v>
      </c>
      <c r="C27" s="55">
        <v>2028</v>
      </c>
      <c r="D27" s="55" t="s">
        <v>121</v>
      </c>
      <c r="E27" s="55" t="s">
        <v>122</v>
      </c>
      <c r="F27" s="55" t="s">
        <v>151</v>
      </c>
      <c r="G27" s="86">
        <f>'Customer Forecast'!D31</f>
        <v>54.661500000000018</v>
      </c>
      <c r="H27" s="86">
        <f>'Customer Forecast'!C31</f>
        <v>45.886500000000041</v>
      </c>
      <c r="I27" s="87">
        <f t="shared" si="0"/>
        <v>8.7749999999999773</v>
      </c>
      <c r="J27" s="39">
        <f t="shared" si="1"/>
        <v>169.53299999999956</v>
      </c>
      <c r="L27" s="88">
        <f t="shared" si="5"/>
        <v>33.210000000000008</v>
      </c>
      <c r="M27" s="88">
        <v>54.56076505569763</v>
      </c>
      <c r="N27" s="89">
        <f t="shared" si="2"/>
        <v>-21.350765055697622</v>
      </c>
      <c r="O27" s="56">
        <f t="shared" si="3"/>
        <v>-412.49678087607805</v>
      </c>
      <c r="P27" s="92"/>
      <c r="Q27" s="53">
        <v>19</v>
      </c>
      <c r="R27" s="53">
        <v>2028</v>
      </c>
      <c r="S27" s="57">
        <v>54.56076505569763</v>
      </c>
      <c r="T27" s="54">
        <f t="shared" si="4"/>
        <v>33.210000000000008</v>
      </c>
      <c r="U27" s="57">
        <v>33.210000000000008</v>
      </c>
      <c r="V27" s="91"/>
      <c r="W27" s="77"/>
      <c r="AF27" s="42"/>
      <c r="AG27" s="42"/>
      <c r="AH27" s="42"/>
    </row>
    <row r="28" spans="2:34" x14ac:dyDescent="0.3">
      <c r="B28" s="55">
        <v>20</v>
      </c>
      <c r="C28" s="55">
        <v>2029</v>
      </c>
      <c r="D28" s="55" t="s">
        <v>123</v>
      </c>
      <c r="E28" s="55" t="s">
        <v>124</v>
      </c>
      <c r="F28" s="55" t="s">
        <v>151</v>
      </c>
      <c r="G28" s="86">
        <f>'Customer Forecast'!D32</f>
        <v>54.985500000000023</v>
      </c>
      <c r="H28" s="86">
        <f>'Customer Forecast'!C32</f>
        <v>45.400500000000051</v>
      </c>
      <c r="I28" s="87">
        <f t="shared" si="0"/>
        <v>9.5849999999999724</v>
      </c>
      <c r="J28" s="39">
        <f t="shared" si="1"/>
        <v>185.18219999999948</v>
      </c>
      <c r="L28" s="88">
        <f t="shared" si="5"/>
        <v>33.939000000000021</v>
      </c>
      <c r="M28" s="88">
        <v>54.56076505569763</v>
      </c>
      <c r="N28" s="89">
        <f t="shared" si="2"/>
        <v>-20.621765055697608</v>
      </c>
      <c r="O28" s="56">
        <f t="shared" si="3"/>
        <v>-398.41250087607784</v>
      </c>
      <c r="P28" s="92"/>
      <c r="Q28" s="53">
        <v>20</v>
      </c>
      <c r="R28" s="53">
        <v>2029</v>
      </c>
      <c r="S28" s="57">
        <v>54.56076505569763</v>
      </c>
      <c r="T28" s="54">
        <f t="shared" si="4"/>
        <v>33.939000000000021</v>
      </c>
      <c r="U28" s="57">
        <v>33.939000000000021</v>
      </c>
      <c r="V28" s="91"/>
      <c r="W28" s="77"/>
      <c r="AF28" s="42"/>
      <c r="AG28" s="42"/>
      <c r="AH28" s="42"/>
    </row>
    <row r="29" spans="2:34" x14ac:dyDescent="0.3">
      <c r="B29" s="55">
        <v>21</v>
      </c>
      <c r="C29" s="55">
        <v>2030</v>
      </c>
      <c r="D29" s="55" t="s">
        <v>125</v>
      </c>
      <c r="E29" s="55" t="s">
        <v>126</v>
      </c>
      <c r="F29" s="55" t="s">
        <v>151</v>
      </c>
      <c r="G29" s="86">
        <f>'Customer Forecast'!D33</f>
        <v>55.309500000000028</v>
      </c>
      <c r="H29" s="86">
        <f>'Customer Forecast'!C33</f>
        <v>44.914500000000046</v>
      </c>
      <c r="I29" s="87">
        <f t="shared" si="0"/>
        <v>10.394999999999982</v>
      </c>
      <c r="J29" s="39">
        <f t="shared" si="1"/>
        <v>200.83139999999963</v>
      </c>
      <c r="L29" s="88">
        <f t="shared" si="5"/>
        <v>34.668000000000006</v>
      </c>
      <c r="M29" s="88">
        <v>54.56076505569763</v>
      </c>
      <c r="N29" s="89">
        <f t="shared" si="2"/>
        <v>-19.892765055697623</v>
      </c>
      <c r="O29" s="56">
        <f t="shared" si="3"/>
        <v>-384.32822087607809</v>
      </c>
      <c r="P29" s="92"/>
      <c r="Q29" s="53">
        <v>21</v>
      </c>
      <c r="R29" s="53">
        <v>2030</v>
      </c>
      <c r="S29" s="57">
        <v>54.56076505569763</v>
      </c>
      <c r="T29" s="54">
        <f t="shared" si="4"/>
        <v>34.668000000000006</v>
      </c>
      <c r="U29" s="57">
        <v>34.668000000000006</v>
      </c>
      <c r="V29" s="91"/>
      <c r="W29" s="77"/>
      <c r="AF29" s="42"/>
      <c r="AG29" s="42"/>
      <c r="AH29" s="42"/>
    </row>
    <row r="30" spans="2:34" x14ac:dyDescent="0.3">
      <c r="B30" s="55">
        <v>22</v>
      </c>
      <c r="C30" s="55">
        <v>2031</v>
      </c>
      <c r="D30" s="55" t="s">
        <v>127</v>
      </c>
      <c r="E30" s="55" t="s">
        <v>128</v>
      </c>
      <c r="F30" s="55" t="s">
        <v>151</v>
      </c>
      <c r="G30" s="86">
        <f>'Customer Forecast'!D34</f>
        <v>55.633500000000041</v>
      </c>
      <c r="H30" s="86">
        <f>'Customer Forecast'!C34</f>
        <v>44.428500000000057</v>
      </c>
      <c r="I30" s="87">
        <f t="shared" si="0"/>
        <v>11.204999999999984</v>
      </c>
      <c r="J30" s="39">
        <f t="shared" si="1"/>
        <v>216.4805999999997</v>
      </c>
      <c r="L30" s="88">
        <f t="shared" si="5"/>
        <v>35.396999999999991</v>
      </c>
      <c r="M30" s="88">
        <v>54.560035175090093</v>
      </c>
      <c r="N30" s="89">
        <f t="shared" si="2"/>
        <v>-19.163035175090101</v>
      </c>
      <c r="O30" s="56">
        <f t="shared" si="3"/>
        <v>-370.22983958274079</v>
      </c>
      <c r="P30" s="92"/>
      <c r="Q30" s="53">
        <v>22</v>
      </c>
      <c r="R30" s="53">
        <v>2031</v>
      </c>
      <c r="S30" s="57">
        <v>54.560035175090093</v>
      </c>
      <c r="T30" s="54">
        <f t="shared" si="4"/>
        <v>35.396999999999991</v>
      </c>
      <c r="U30" s="57">
        <v>35.396999999999991</v>
      </c>
      <c r="V30" s="91"/>
      <c r="W30" s="77"/>
      <c r="AF30" s="42"/>
      <c r="AG30" s="42"/>
      <c r="AH30" s="42"/>
    </row>
    <row r="31" spans="2:34" x14ac:dyDescent="0.3">
      <c r="B31" s="55">
        <v>23</v>
      </c>
      <c r="C31" s="55">
        <v>2032</v>
      </c>
      <c r="D31" s="55" t="s">
        <v>129</v>
      </c>
      <c r="E31" s="55" t="s">
        <v>130</v>
      </c>
      <c r="F31" s="55" t="s">
        <v>151</v>
      </c>
      <c r="G31" s="86">
        <f>'Customer Forecast'!D35</f>
        <v>55.957500000000039</v>
      </c>
      <c r="H31" s="86">
        <f>'Customer Forecast'!C35</f>
        <v>43.942500000000052</v>
      </c>
      <c r="I31" s="87">
        <f t="shared" si="0"/>
        <v>12.014999999999986</v>
      </c>
      <c r="J31" s="39">
        <f t="shared" si="1"/>
        <v>232.12979999999973</v>
      </c>
      <c r="L31" s="88">
        <f t="shared" si="5"/>
        <v>36.126000000000005</v>
      </c>
      <c r="M31" s="88">
        <v>54.558575413875005</v>
      </c>
      <c r="N31" s="89">
        <f t="shared" si="2"/>
        <v>-18.432575413875</v>
      </c>
      <c r="O31" s="56">
        <f t="shared" si="3"/>
        <v>-356.11735699606504</v>
      </c>
      <c r="P31" s="92"/>
      <c r="Q31" s="53">
        <v>23</v>
      </c>
      <c r="R31" s="53">
        <v>2032</v>
      </c>
      <c r="S31" s="57">
        <v>54.558575413875005</v>
      </c>
      <c r="T31" s="54">
        <f t="shared" si="4"/>
        <v>36.126000000000005</v>
      </c>
      <c r="U31" s="57">
        <v>36.126000000000005</v>
      </c>
      <c r="V31" s="91"/>
      <c r="W31" s="77"/>
      <c r="AF31" s="42"/>
      <c r="AG31" s="42"/>
      <c r="AH31" s="42"/>
    </row>
    <row r="32" spans="2:34" x14ac:dyDescent="0.3">
      <c r="B32" s="55">
        <v>24</v>
      </c>
      <c r="C32" s="55">
        <v>2033</v>
      </c>
      <c r="D32" s="55" t="s">
        <v>131</v>
      </c>
      <c r="E32" s="55" t="s">
        <v>132</v>
      </c>
      <c r="F32" s="55" t="s">
        <v>151</v>
      </c>
      <c r="G32" s="86">
        <f>'Customer Forecast'!D36</f>
        <v>56.281500000000044</v>
      </c>
      <c r="H32" s="86">
        <f>'Customer Forecast'!C36</f>
        <v>43.456500000000062</v>
      </c>
      <c r="I32" s="87">
        <f t="shared" si="0"/>
        <v>12.824999999999982</v>
      </c>
      <c r="J32" s="39">
        <f t="shared" si="1"/>
        <v>247.77899999999966</v>
      </c>
      <c r="L32" s="88">
        <f t="shared" si="5"/>
        <v>36.855000000000018</v>
      </c>
      <c r="M32" s="88">
        <v>54.558575413875005</v>
      </c>
      <c r="N32" s="89">
        <f t="shared" si="2"/>
        <v>-17.703575413874987</v>
      </c>
      <c r="O32" s="56">
        <f t="shared" si="3"/>
        <v>-342.03307699606478</v>
      </c>
      <c r="P32" s="92"/>
      <c r="Q32" s="53">
        <v>24</v>
      </c>
      <c r="R32" s="53">
        <v>2033</v>
      </c>
      <c r="S32" s="57">
        <v>54.558575413875005</v>
      </c>
      <c r="T32" s="54">
        <f t="shared" si="4"/>
        <v>36.855000000000018</v>
      </c>
      <c r="U32" s="57">
        <v>36.855000000000018</v>
      </c>
      <c r="V32" s="91"/>
      <c r="W32" s="77"/>
      <c r="AF32" s="42"/>
      <c r="AG32" s="42"/>
      <c r="AH32" s="42"/>
    </row>
    <row r="33" spans="2:23" x14ac:dyDescent="0.3">
      <c r="B33" s="55">
        <v>25</v>
      </c>
      <c r="C33" s="55">
        <v>2034</v>
      </c>
      <c r="D33" s="55" t="s">
        <v>133</v>
      </c>
      <c r="E33" s="55" t="s">
        <v>134</v>
      </c>
      <c r="F33" s="55" t="s">
        <v>151</v>
      </c>
      <c r="G33" s="86">
        <f>'Customer Forecast'!D37</f>
        <v>56.605500000000049</v>
      </c>
      <c r="H33" s="86">
        <f>'Customer Forecast'!C37</f>
        <v>42.970500000000072</v>
      </c>
      <c r="I33" s="87">
        <f t="shared" si="0"/>
        <v>13.634999999999977</v>
      </c>
      <c r="J33" s="39">
        <f t="shared" si="1"/>
        <v>263.42819999999955</v>
      </c>
      <c r="L33" s="88">
        <f t="shared" si="5"/>
        <v>37.664999999999992</v>
      </c>
      <c r="M33" s="88">
        <v>54.558575413875005</v>
      </c>
      <c r="N33" s="89">
        <f t="shared" si="2"/>
        <v>-16.893575413875013</v>
      </c>
      <c r="O33" s="56">
        <f t="shared" si="3"/>
        <v>-326.38387699606528</v>
      </c>
      <c r="P33" s="92"/>
      <c r="Q33" s="53">
        <v>25</v>
      </c>
      <c r="R33" s="53">
        <v>2034</v>
      </c>
      <c r="S33" s="57">
        <v>54.558575413875005</v>
      </c>
      <c r="T33" s="54">
        <f t="shared" si="4"/>
        <v>37.664999999999992</v>
      </c>
      <c r="U33" s="57">
        <v>37.664999999999992</v>
      </c>
      <c r="V33" s="91"/>
      <c r="W33" s="77"/>
    </row>
    <row r="34" spans="2:23" ht="2.25" customHeight="1" x14ac:dyDescent="0.3">
      <c r="B34" s="42"/>
      <c r="C34" s="42"/>
      <c r="D34" s="42"/>
      <c r="E34" s="55" t="s">
        <v>152</v>
      </c>
      <c r="F34" s="43"/>
      <c r="G34" s="44"/>
      <c r="H34" s="42"/>
      <c r="I34" s="40"/>
      <c r="J34" s="40"/>
      <c r="L34" s="59"/>
      <c r="M34" s="59"/>
      <c r="N34" s="60"/>
      <c r="P34" s="77"/>
      <c r="Q34" s="53"/>
      <c r="R34" s="53"/>
      <c r="S34" s="54"/>
      <c r="T34" s="54">
        <f t="shared" si="4"/>
        <v>0</v>
      </c>
      <c r="U34" s="57" t="e">
        <f>#REF!</f>
        <v>#REF!</v>
      </c>
      <c r="V34" s="78"/>
      <c r="W34" s="77"/>
    </row>
    <row r="35" spans="2:23" ht="12" customHeight="1" x14ac:dyDescent="0.3">
      <c r="B35" s="41" t="s">
        <v>153</v>
      </c>
      <c r="C35" s="42"/>
      <c r="D35" s="42"/>
      <c r="E35" s="42"/>
      <c r="F35" s="43"/>
      <c r="G35" s="44"/>
      <c r="H35" s="42"/>
      <c r="I35" s="40"/>
      <c r="J35" s="40"/>
      <c r="K35" s="38"/>
      <c r="L35" s="59"/>
      <c r="M35" s="59"/>
      <c r="N35" s="60"/>
      <c r="P35" s="77"/>
      <c r="Q35" s="53"/>
      <c r="R35" s="53"/>
      <c r="S35" s="54"/>
      <c r="T35" s="53"/>
      <c r="U35" s="57"/>
      <c r="V35" s="77"/>
      <c r="W35" s="77"/>
    </row>
    <row r="36" spans="2:23" ht="12" customHeight="1" x14ac:dyDescent="0.3">
      <c r="B36" s="41" t="s">
        <v>154</v>
      </c>
      <c r="C36" s="42"/>
      <c r="D36" s="42"/>
      <c r="E36" s="42"/>
      <c r="F36" s="43"/>
      <c r="G36" s="44"/>
      <c r="H36" s="42"/>
      <c r="I36" s="40"/>
      <c r="J36" s="40"/>
      <c r="K36" s="38"/>
      <c r="L36" s="59"/>
      <c r="M36" s="59"/>
      <c r="N36" s="60"/>
      <c r="P36" s="77"/>
      <c r="Q36" s="53"/>
      <c r="R36" s="53"/>
      <c r="S36" s="54"/>
      <c r="T36" s="53"/>
      <c r="U36" s="57"/>
      <c r="V36" s="77"/>
      <c r="W36" s="77"/>
    </row>
    <row r="37" spans="2:23" ht="12" customHeight="1" x14ac:dyDescent="0.3">
      <c r="B37" s="41" t="s">
        <v>155</v>
      </c>
      <c r="C37" s="42"/>
      <c r="D37" s="42"/>
      <c r="E37" s="42"/>
      <c r="F37" s="43"/>
      <c r="G37" s="44"/>
      <c r="H37" s="42"/>
      <c r="I37" s="40"/>
      <c r="J37" s="40"/>
      <c r="K37" s="38"/>
      <c r="L37" s="59"/>
      <c r="M37" s="59"/>
      <c r="N37" s="60"/>
      <c r="P37" s="77"/>
      <c r="Q37" s="53"/>
      <c r="R37" s="53"/>
      <c r="S37" s="54"/>
      <c r="T37" s="53"/>
      <c r="U37" s="57"/>
      <c r="V37" s="77"/>
      <c r="W37" s="77"/>
    </row>
    <row r="38" spans="2:23" ht="12" customHeight="1" x14ac:dyDescent="0.3">
      <c r="B38" s="41" t="s">
        <v>156</v>
      </c>
      <c r="C38" s="42"/>
      <c r="D38" s="42"/>
      <c r="E38" s="42"/>
      <c r="F38" s="43"/>
      <c r="G38" s="44"/>
      <c r="H38" s="42"/>
      <c r="I38" s="40"/>
      <c r="J38" s="40"/>
      <c r="K38" s="38"/>
      <c r="L38" s="59"/>
      <c r="M38" s="59"/>
      <c r="N38" s="60"/>
      <c r="Q38" s="42"/>
      <c r="R38" s="42"/>
      <c r="S38" s="59"/>
      <c r="T38" s="42"/>
      <c r="U38" s="93"/>
      <c r="V38" s="36"/>
      <c r="W38" s="94"/>
    </row>
    <row r="39" spans="2:23" ht="12" customHeight="1" x14ac:dyDescent="0.3">
      <c r="B39" s="45" t="s">
        <v>157</v>
      </c>
      <c r="C39" s="42"/>
      <c r="D39" s="42"/>
      <c r="E39" s="42"/>
      <c r="F39" s="43"/>
      <c r="G39" s="44"/>
      <c r="H39" s="42"/>
      <c r="I39" s="40"/>
      <c r="J39" s="40"/>
      <c r="K39" s="38"/>
      <c r="L39" s="59"/>
      <c r="M39" s="59"/>
      <c r="N39" s="60"/>
      <c r="Q39" s="95"/>
      <c r="R39" s="95"/>
      <c r="S39" s="96"/>
      <c r="T39" s="95"/>
      <c r="U39" s="97"/>
      <c r="V39" s="94"/>
      <c r="W39" s="94"/>
    </row>
    <row r="40" spans="2:23" ht="12" customHeight="1" x14ac:dyDescent="0.3">
      <c r="B40" s="45" t="s">
        <v>158</v>
      </c>
      <c r="K40" s="38"/>
    </row>
  </sheetData>
  <mergeCells count="2">
    <mergeCell ref="B6:J6"/>
    <mergeCell ref="L6:O6"/>
  </mergeCells>
  <pageMargins left="0.25" right="0.25" top="0.25" bottom="0.5" header="0.3" footer="0.3"/>
  <pageSetup scale="88" orientation="portrait" r:id="rId1"/>
  <headerFooter>
    <oddFooter>&amp;C&amp;"MS Sans Serif,Bold"&amp;8Note:&amp;"MS Sans Serif,Regular" The values contained above are subject to validation and change at the time of the official true-up.  Report is intended to facilitiate discussion between the parties.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79998168889431442"/>
    <pageSetUpPr fitToPage="1"/>
  </sheetPr>
  <dimension ref="A1:U185"/>
  <sheetViews>
    <sheetView showWhiteSpace="0" topLeftCell="C1" zoomScaleNormal="100" zoomScalePageLayoutView="130" workbookViewId="0">
      <pane ySplit="4" topLeftCell="A5" activePane="bottomLeft" state="frozen"/>
      <selection pane="bottomLeft" activeCell="H17" sqref="H17:H28"/>
    </sheetView>
  </sheetViews>
  <sheetFormatPr defaultColWidth="9.109375" defaultRowHeight="13.8" x14ac:dyDescent="0.3"/>
  <cols>
    <col min="1" max="1" width="0.44140625" style="99" customWidth="1"/>
    <col min="2" max="2" width="30.5546875" style="101" customWidth="1"/>
    <col min="3" max="3" width="36.44140625" style="101" customWidth="1"/>
    <col min="4" max="4" width="8.5546875" style="101" bestFit="1" customWidth="1"/>
    <col min="5" max="5" width="6.5546875" style="101" bestFit="1" customWidth="1"/>
    <col min="6" max="6" width="8.33203125" style="101" bestFit="1" customWidth="1"/>
    <col min="7" max="10" width="12.44140625" style="100" customWidth="1"/>
    <col min="11" max="11" width="4.44140625" style="100" hidden="1" customWidth="1"/>
    <col min="12" max="15" width="12.44140625" style="100" customWidth="1"/>
    <col min="16" max="16" width="4.44140625" style="99" hidden="1" customWidth="1"/>
    <col min="17" max="17" width="11.88671875" style="99" customWidth="1"/>
    <col min="18" max="16384" width="9.109375" style="99"/>
  </cols>
  <sheetData>
    <row r="1" spans="2:21" ht="3" customHeight="1" x14ac:dyDescent="0.3"/>
    <row r="2" spans="2:21" ht="12.75" customHeight="1" x14ac:dyDescent="0.3">
      <c r="B2" s="172" t="s">
        <v>46</v>
      </c>
      <c r="C2" s="172"/>
      <c r="D2" s="172"/>
      <c r="E2" s="172"/>
      <c r="F2" s="172"/>
      <c r="G2" s="173" t="s">
        <v>170</v>
      </c>
      <c r="H2" s="173"/>
      <c r="I2" s="173"/>
      <c r="J2" s="173"/>
      <c r="K2" s="173"/>
      <c r="L2" s="174" t="s">
        <v>169</v>
      </c>
      <c r="M2" s="174"/>
      <c r="N2" s="174"/>
      <c r="O2" s="174"/>
      <c r="P2" s="174"/>
      <c r="Q2" s="175" t="s">
        <v>168</v>
      </c>
    </row>
    <row r="3" spans="2:21" s="123" customFormat="1" ht="12.75" customHeight="1" x14ac:dyDescent="0.3">
      <c r="B3" s="172"/>
      <c r="C3" s="172"/>
      <c r="D3" s="172"/>
      <c r="E3" s="172"/>
      <c r="F3" s="172"/>
      <c r="G3" s="173"/>
      <c r="H3" s="173"/>
      <c r="I3" s="173"/>
      <c r="J3" s="173"/>
      <c r="K3" s="173"/>
      <c r="L3" s="178" t="s">
        <v>140</v>
      </c>
      <c r="M3" s="179"/>
      <c r="N3" s="179"/>
      <c r="O3" s="179"/>
      <c r="P3" s="98"/>
      <c r="Q3" s="176"/>
    </row>
    <row r="4" spans="2:21" s="119" customFormat="1" ht="63.75" customHeight="1" x14ac:dyDescent="0.3">
      <c r="B4" s="122" t="s">
        <v>4</v>
      </c>
      <c r="C4" s="122" t="s">
        <v>78</v>
      </c>
      <c r="D4" s="121" t="s">
        <v>5</v>
      </c>
      <c r="E4" s="121" t="s">
        <v>6</v>
      </c>
      <c r="F4" s="121" t="s">
        <v>7</v>
      </c>
      <c r="G4" s="98" t="s">
        <v>159</v>
      </c>
      <c r="H4" s="98" t="s">
        <v>167</v>
      </c>
      <c r="I4" s="35" t="s">
        <v>166</v>
      </c>
      <c r="J4" s="98" t="s">
        <v>165</v>
      </c>
      <c r="K4" s="98" t="s">
        <v>77</v>
      </c>
      <c r="L4" s="98" t="s">
        <v>160</v>
      </c>
      <c r="M4" s="98" t="s">
        <v>164</v>
      </c>
      <c r="N4" s="120" t="s">
        <v>163</v>
      </c>
      <c r="O4" s="98" t="s">
        <v>162</v>
      </c>
      <c r="P4" s="98" t="s">
        <v>77</v>
      </c>
      <c r="Q4" s="177"/>
    </row>
    <row r="5" spans="2:21" x14ac:dyDescent="0.3">
      <c r="B5" s="113" t="s">
        <v>146</v>
      </c>
      <c r="C5" s="113" t="s">
        <v>161</v>
      </c>
      <c r="D5" s="113" t="s">
        <v>9</v>
      </c>
      <c r="E5" s="113">
        <v>2009</v>
      </c>
      <c r="F5" s="113">
        <v>5</v>
      </c>
      <c r="G5" s="116">
        <v>5.8999999999999997E-2</v>
      </c>
      <c r="H5" s="166">
        <f>AVERAGE(G5:G16)</f>
        <v>30.996750000000002</v>
      </c>
      <c r="I5" s="165">
        <v>0</v>
      </c>
      <c r="J5" s="166">
        <f>IF(H5-I5&lt;0,0,H5-I5)</f>
        <v>30.996750000000002</v>
      </c>
      <c r="K5" s="167">
        <f>AVERAGE(G5:G16)/MAX(G5:G16)</f>
        <v>0.67287695914557377</v>
      </c>
      <c r="L5" s="116">
        <v>96.975999999999999</v>
      </c>
      <c r="M5" s="166">
        <f>AVERAGE(L5:L16)</f>
        <v>75.600250000000003</v>
      </c>
      <c r="N5" s="165">
        <f>140*0.81</f>
        <v>113.4</v>
      </c>
      <c r="O5" s="166">
        <f>IF(N5-M5&gt;0,N5-M5,0)</f>
        <v>37.799750000000003</v>
      </c>
      <c r="P5" s="167" t="e">
        <f>AVERAGE(#REF!)/MAX(#REF!)</f>
        <v>#REF!</v>
      </c>
      <c r="Q5" s="168">
        <f>IF(J5-O5&lt;0,0,J5-O5)</f>
        <v>0</v>
      </c>
      <c r="T5" s="114"/>
      <c r="U5" s="114"/>
    </row>
    <row r="6" spans="2:21" x14ac:dyDescent="0.3">
      <c r="B6" s="113" t="s">
        <v>146</v>
      </c>
      <c r="C6" s="113" t="s">
        <v>161</v>
      </c>
      <c r="D6" s="113" t="s">
        <v>9</v>
      </c>
      <c r="E6" s="113">
        <v>2009</v>
      </c>
      <c r="F6" s="113">
        <v>6</v>
      </c>
      <c r="G6" s="116">
        <v>5.8999999999999997E-2</v>
      </c>
      <c r="H6" s="166"/>
      <c r="I6" s="165"/>
      <c r="J6" s="166"/>
      <c r="K6" s="167"/>
      <c r="L6" s="116">
        <v>127.898</v>
      </c>
      <c r="M6" s="166"/>
      <c r="N6" s="165"/>
      <c r="O6" s="166"/>
      <c r="P6" s="167"/>
      <c r="Q6" s="168"/>
      <c r="T6" s="114"/>
      <c r="U6" s="114"/>
    </row>
    <row r="7" spans="2:21" x14ac:dyDescent="0.3">
      <c r="B7" s="113" t="s">
        <v>146</v>
      </c>
      <c r="C7" s="113" t="s">
        <v>161</v>
      </c>
      <c r="D7" s="113" t="s">
        <v>9</v>
      </c>
      <c r="E7" s="113">
        <v>2009</v>
      </c>
      <c r="F7" s="113">
        <v>7</v>
      </c>
      <c r="G7" s="116">
        <v>37.652999999999999</v>
      </c>
      <c r="H7" s="166"/>
      <c r="I7" s="165"/>
      <c r="J7" s="166"/>
      <c r="K7" s="167"/>
      <c r="L7" s="116">
        <v>71.167000000000002</v>
      </c>
      <c r="M7" s="166"/>
      <c r="N7" s="165"/>
      <c r="O7" s="166"/>
      <c r="P7" s="167"/>
      <c r="Q7" s="168"/>
      <c r="T7" s="114"/>
      <c r="U7" s="114"/>
    </row>
    <row r="8" spans="2:21" x14ac:dyDescent="0.3">
      <c r="B8" s="113" t="s">
        <v>146</v>
      </c>
      <c r="C8" s="113" t="s">
        <v>161</v>
      </c>
      <c r="D8" s="113" t="s">
        <v>9</v>
      </c>
      <c r="E8" s="113">
        <v>2009</v>
      </c>
      <c r="F8" s="113">
        <v>8</v>
      </c>
      <c r="G8" s="116">
        <v>46.066000000000003</v>
      </c>
      <c r="H8" s="166"/>
      <c r="I8" s="165"/>
      <c r="J8" s="166"/>
      <c r="K8" s="167"/>
      <c r="L8" s="116">
        <v>89.686999999999998</v>
      </c>
      <c r="M8" s="166"/>
      <c r="N8" s="165"/>
      <c r="O8" s="166"/>
      <c r="P8" s="167"/>
      <c r="Q8" s="168"/>
      <c r="T8" s="114"/>
      <c r="U8" s="114"/>
    </row>
    <row r="9" spans="2:21" x14ac:dyDescent="0.3">
      <c r="B9" s="113" t="s">
        <v>146</v>
      </c>
      <c r="C9" s="113" t="s">
        <v>161</v>
      </c>
      <c r="D9" s="113" t="s">
        <v>9</v>
      </c>
      <c r="E9" s="113">
        <v>2009</v>
      </c>
      <c r="F9" s="113">
        <v>9</v>
      </c>
      <c r="G9" s="116">
        <v>40.045999999999999</v>
      </c>
      <c r="H9" s="166"/>
      <c r="I9" s="165"/>
      <c r="J9" s="166"/>
      <c r="K9" s="167"/>
      <c r="L9" s="116">
        <v>66.978999999999999</v>
      </c>
      <c r="M9" s="166"/>
      <c r="N9" s="165"/>
      <c r="O9" s="166"/>
      <c r="P9" s="167"/>
      <c r="Q9" s="168"/>
      <c r="T9" s="114"/>
      <c r="U9" s="114"/>
    </row>
    <row r="10" spans="2:21" x14ac:dyDescent="0.3">
      <c r="B10" s="113" t="s">
        <v>146</v>
      </c>
      <c r="C10" s="113" t="s">
        <v>161</v>
      </c>
      <c r="D10" s="113" t="s">
        <v>9</v>
      </c>
      <c r="E10" s="113">
        <v>2009</v>
      </c>
      <c r="F10" s="113">
        <v>10</v>
      </c>
      <c r="G10" s="116">
        <v>32.008000000000003</v>
      </c>
      <c r="H10" s="166"/>
      <c r="I10" s="165"/>
      <c r="J10" s="166"/>
      <c r="K10" s="167"/>
      <c r="L10" s="116">
        <v>59.286999999999999</v>
      </c>
      <c r="M10" s="166"/>
      <c r="N10" s="165"/>
      <c r="O10" s="166"/>
      <c r="P10" s="167"/>
      <c r="Q10" s="168"/>
      <c r="T10" s="114"/>
      <c r="U10" s="114"/>
    </row>
    <row r="11" spans="2:21" x14ac:dyDescent="0.3">
      <c r="B11" s="113" t="s">
        <v>146</v>
      </c>
      <c r="C11" s="113" t="s">
        <v>161</v>
      </c>
      <c r="D11" s="113" t="s">
        <v>9</v>
      </c>
      <c r="E11" s="113">
        <v>2009</v>
      </c>
      <c r="F11" s="113">
        <v>11</v>
      </c>
      <c r="G11" s="116">
        <v>34.07</v>
      </c>
      <c r="H11" s="166"/>
      <c r="I11" s="165"/>
      <c r="J11" s="166"/>
      <c r="K11" s="167"/>
      <c r="L11" s="116">
        <v>65.683000000000007</v>
      </c>
      <c r="M11" s="166"/>
      <c r="N11" s="165"/>
      <c r="O11" s="166"/>
      <c r="P11" s="167"/>
      <c r="Q11" s="168"/>
      <c r="T11" s="114"/>
      <c r="U11" s="114"/>
    </row>
    <row r="12" spans="2:21" x14ac:dyDescent="0.3">
      <c r="B12" s="113" t="s">
        <v>146</v>
      </c>
      <c r="C12" s="113" t="s">
        <v>161</v>
      </c>
      <c r="D12" s="113" t="s">
        <v>9</v>
      </c>
      <c r="E12" s="113">
        <v>2009</v>
      </c>
      <c r="F12" s="113">
        <v>12</v>
      </c>
      <c r="G12" s="116">
        <v>37.96</v>
      </c>
      <c r="H12" s="166"/>
      <c r="I12" s="165"/>
      <c r="J12" s="166"/>
      <c r="K12" s="167"/>
      <c r="L12" s="116">
        <v>71.028000000000006</v>
      </c>
      <c r="M12" s="166"/>
      <c r="N12" s="165"/>
      <c r="O12" s="166"/>
      <c r="P12" s="167"/>
      <c r="Q12" s="168"/>
      <c r="T12" s="114"/>
      <c r="U12" s="114"/>
    </row>
    <row r="13" spans="2:21" x14ac:dyDescent="0.3">
      <c r="B13" s="113" t="s">
        <v>146</v>
      </c>
      <c r="C13" s="113" t="s">
        <v>161</v>
      </c>
      <c r="D13" s="113" t="s">
        <v>9</v>
      </c>
      <c r="E13" s="113">
        <v>2010</v>
      </c>
      <c r="F13" s="113">
        <v>1</v>
      </c>
      <c r="G13" s="116">
        <v>38.509</v>
      </c>
      <c r="H13" s="166"/>
      <c r="I13" s="165"/>
      <c r="J13" s="166"/>
      <c r="K13" s="167"/>
      <c r="L13" s="116">
        <v>72.561999999999998</v>
      </c>
      <c r="M13" s="166"/>
      <c r="N13" s="165"/>
      <c r="O13" s="166"/>
      <c r="P13" s="167"/>
      <c r="Q13" s="168"/>
      <c r="T13" s="114"/>
      <c r="U13" s="114"/>
    </row>
    <row r="14" spans="2:21" x14ac:dyDescent="0.3">
      <c r="B14" s="113" t="s">
        <v>146</v>
      </c>
      <c r="C14" s="113" t="s">
        <v>161</v>
      </c>
      <c r="D14" s="113" t="s">
        <v>9</v>
      </c>
      <c r="E14" s="113">
        <v>2010</v>
      </c>
      <c r="F14" s="113">
        <v>2</v>
      </c>
      <c r="G14" s="116">
        <v>35.188000000000002</v>
      </c>
      <c r="H14" s="166"/>
      <c r="I14" s="165"/>
      <c r="J14" s="166"/>
      <c r="K14" s="167"/>
      <c r="L14" s="116">
        <v>71.253</v>
      </c>
      <c r="M14" s="166"/>
      <c r="N14" s="165"/>
      <c r="O14" s="166"/>
      <c r="P14" s="167"/>
      <c r="Q14" s="168"/>
      <c r="T14" s="114"/>
      <c r="U14" s="114"/>
    </row>
    <row r="15" spans="2:21" x14ac:dyDescent="0.3">
      <c r="B15" s="113" t="s">
        <v>146</v>
      </c>
      <c r="C15" s="113" t="s">
        <v>161</v>
      </c>
      <c r="D15" s="113" t="s">
        <v>9</v>
      </c>
      <c r="E15" s="113">
        <v>2010</v>
      </c>
      <c r="F15" s="113">
        <v>3</v>
      </c>
      <c r="G15" s="116">
        <v>36.152000000000001</v>
      </c>
      <c r="H15" s="166"/>
      <c r="I15" s="165"/>
      <c r="J15" s="166"/>
      <c r="K15" s="167"/>
      <c r="L15" s="116">
        <v>62.494999999999997</v>
      </c>
      <c r="M15" s="166"/>
      <c r="N15" s="165"/>
      <c r="O15" s="166"/>
      <c r="P15" s="167"/>
      <c r="Q15" s="168"/>
      <c r="T15" s="114"/>
      <c r="U15" s="114"/>
    </row>
    <row r="16" spans="2:21" x14ac:dyDescent="0.3">
      <c r="B16" s="113" t="s">
        <v>146</v>
      </c>
      <c r="C16" s="113" t="s">
        <v>161</v>
      </c>
      <c r="D16" s="113" t="s">
        <v>9</v>
      </c>
      <c r="E16" s="113">
        <v>2010</v>
      </c>
      <c r="F16" s="113">
        <v>4</v>
      </c>
      <c r="G16" s="116">
        <v>34.191000000000003</v>
      </c>
      <c r="H16" s="166"/>
      <c r="I16" s="165"/>
      <c r="J16" s="166"/>
      <c r="K16" s="167"/>
      <c r="L16" s="116">
        <v>52.188000000000002</v>
      </c>
      <c r="M16" s="166"/>
      <c r="N16" s="165"/>
      <c r="O16" s="166"/>
      <c r="P16" s="167"/>
      <c r="Q16" s="168"/>
      <c r="T16" s="114"/>
      <c r="U16" s="114"/>
    </row>
    <row r="17" spans="2:21" x14ac:dyDescent="0.3">
      <c r="B17" s="113" t="s">
        <v>146</v>
      </c>
      <c r="C17" s="113" t="s">
        <v>161</v>
      </c>
      <c r="D17" s="113" t="s">
        <v>27</v>
      </c>
      <c r="E17" s="113">
        <v>2010</v>
      </c>
      <c r="F17" s="113">
        <v>5</v>
      </c>
      <c r="G17" s="116">
        <v>50.832999999999998</v>
      </c>
      <c r="H17" s="166">
        <f>AVERAGE(G17:G28)</f>
        <v>49.052500000000002</v>
      </c>
      <c r="I17" s="165">
        <v>0</v>
      </c>
      <c r="J17" s="166">
        <f>IF(H17-I17&lt;0,0,H17-I17)</f>
        <v>49.052500000000002</v>
      </c>
      <c r="K17" s="167">
        <f>AVERAGE(G17:G28)/MAX(G17:G28)</f>
        <v>0.75288167851058274</v>
      </c>
      <c r="L17" s="116">
        <v>79.918000000000006</v>
      </c>
      <c r="M17" s="166">
        <f>AVERAGE(L17:L28)</f>
        <v>66.577916666666653</v>
      </c>
      <c r="N17" s="165">
        <f>140*0.81</f>
        <v>113.4</v>
      </c>
      <c r="O17" s="166">
        <f>IF(N17-M17&gt;0,N17-M17,0)</f>
        <v>46.822083333333353</v>
      </c>
      <c r="P17" s="167" t="e">
        <f>AVERAGE(#REF!)/MAX(#REF!)</f>
        <v>#REF!</v>
      </c>
      <c r="Q17" s="168">
        <f>IF(J17-O17&lt;0,0,J17-O17)</f>
        <v>2.230416666666649</v>
      </c>
      <c r="T17" s="114"/>
      <c r="U17" s="114"/>
    </row>
    <row r="18" spans="2:21" x14ac:dyDescent="0.3">
      <c r="B18" s="113" t="s">
        <v>146</v>
      </c>
      <c r="C18" s="113" t="s">
        <v>161</v>
      </c>
      <c r="D18" s="113" t="s">
        <v>27</v>
      </c>
      <c r="E18" s="113">
        <v>2010</v>
      </c>
      <c r="F18" s="113">
        <v>6</v>
      </c>
      <c r="G18" s="116">
        <v>39.848999999999997</v>
      </c>
      <c r="H18" s="166"/>
      <c r="I18" s="165"/>
      <c r="J18" s="166"/>
      <c r="K18" s="167"/>
      <c r="L18" s="116">
        <v>78.364999999999995</v>
      </c>
      <c r="M18" s="166"/>
      <c r="N18" s="165"/>
      <c r="O18" s="166"/>
      <c r="P18" s="167"/>
      <c r="Q18" s="168"/>
      <c r="T18" s="114"/>
      <c r="U18" s="114"/>
    </row>
    <row r="19" spans="2:21" x14ac:dyDescent="0.3">
      <c r="B19" s="113" t="s">
        <v>146</v>
      </c>
      <c r="C19" s="113" t="s">
        <v>161</v>
      </c>
      <c r="D19" s="113" t="s">
        <v>27</v>
      </c>
      <c r="E19" s="113">
        <v>2010</v>
      </c>
      <c r="F19" s="113">
        <v>7</v>
      </c>
      <c r="G19" s="116">
        <v>51.768000000000001</v>
      </c>
      <c r="H19" s="166"/>
      <c r="I19" s="165"/>
      <c r="J19" s="166"/>
      <c r="K19" s="167"/>
      <c r="L19" s="116">
        <v>94.685000000000002</v>
      </c>
      <c r="M19" s="166"/>
      <c r="N19" s="165"/>
      <c r="O19" s="166"/>
      <c r="P19" s="167"/>
      <c r="Q19" s="168"/>
      <c r="T19" s="114"/>
      <c r="U19" s="114"/>
    </row>
    <row r="20" spans="2:21" x14ac:dyDescent="0.3">
      <c r="B20" s="113" t="s">
        <v>146</v>
      </c>
      <c r="C20" s="113" t="s">
        <v>161</v>
      </c>
      <c r="D20" s="113" t="s">
        <v>27</v>
      </c>
      <c r="E20" s="113">
        <v>2010</v>
      </c>
      <c r="F20" s="113">
        <v>8</v>
      </c>
      <c r="G20" s="116">
        <v>65.153000000000006</v>
      </c>
      <c r="H20" s="166"/>
      <c r="I20" s="165"/>
      <c r="J20" s="166"/>
      <c r="K20" s="167"/>
      <c r="L20" s="116">
        <v>77.239000000000004</v>
      </c>
      <c r="M20" s="166"/>
      <c r="N20" s="165"/>
      <c r="O20" s="166"/>
      <c r="P20" s="167"/>
      <c r="Q20" s="168"/>
      <c r="T20" s="114"/>
      <c r="U20" s="114"/>
    </row>
    <row r="21" spans="2:21" x14ac:dyDescent="0.3">
      <c r="B21" s="113" t="s">
        <v>146</v>
      </c>
      <c r="C21" s="113" t="s">
        <v>161</v>
      </c>
      <c r="D21" s="113" t="s">
        <v>27</v>
      </c>
      <c r="E21" s="113">
        <v>2010</v>
      </c>
      <c r="F21" s="113">
        <v>9</v>
      </c>
      <c r="G21" s="116">
        <v>64.421999999999997</v>
      </c>
      <c r="H21" s="166"/>
      <c r="I21" s="165"/>
      <c r="J21" s="166"/>
      <c r="K21" s="167"/>
      <c r="L21" s="116">
        <v>76.881</v>
      </c>
      <c r="M21" s="166"/>
      <c r="N21" s="165"/>
      <c r="O21" s="166"/>
      <c r="P21" s="167"/>
      <c r="Q21" s="168"/>
      <c r="T21" s="114"/>
      <c r="U21" s="114"/>
    </row>
    <row r="22" spans="2:21" x14ac:dyDescent="0.3">
      <c r="B22" s="113" t="s">
        <v>146</v>
      </c>
      <c r="C22" s="113" t="s">
        <v>161</v>
      </c>
      <c r="D22" s="113" t="s">
        <v>27</v>
      </c>
      <c r="E22" s="113">
        <v>2010</v>
      </c>
      <c r="F22" s="113">
        <v>10</v>
      </c>
      <c r="G22" s="116">
        <v>40.753</v>
      </c>
      <c r="H22" s="166"/>
      <c r="I22" s="165"/>
      <c r="J22" s="166"/>
      <c r="K22" s="167"/>
      <c r="L22" s="116">
        <v>49.011000000000003</v>
      </c>
      <c r="M22" s="166"/>
      <c r="N22" s="165"/>
      <c r="O22" s="166"/>
      <c r="P22" s="167"/>
      <c r="Q22" s="168"/>
      <c r="T22" s="114"/>
      <c r="U22" s="114"/>
    </row>
    <row r="23" spans="2:21" x14ac:dyDescent="0.3">
      <c r="B23" s="113" t="s">
        <v>146</v>
      </c>
      <c r="C23" s="113" t="s">
        <v>161</v>
      </c>
      <c r="D23" s="113" t="s">
        <v>27</v>
      </c>
      <c r="E23" s="113">
        <v>2010</v>
      </c>
      <c r="F23" s="113">
        <v>11</v>
      </c>
      <c r="G23" s="116">
        <v>45.33</v>
      </c>
      <c r="H23" s="166"/>
      <c r="I23" s="165"/>
      <c r="J23" s="166"/>
      <c r="K23" s="167"/>
      <c r="L23" s="116">
        <v>54.067999999999998</v>
      </c>
      <c r="M23" s="166"/>
      <c r="N23" s="165"/>
      <c r="O23" s="166"/>
      <c r="P23" s="167"/>
      <c r="Q23" s="168"/>
      <c r="T23" s="114"/>
      <c r="U23" s="114"/>
    </row>
    <row r="24" spans="2:21" x14ac:dyDescent="0.3">
      <c r="B24" s="113" t="s">
        <v>146</v>
      </c>
      <c r="C24" s="113" t="s">
        <v>161</v>
      </c>
      <c r="D24" s="113" t="s">
        <v>27</v>
      </c>
      <c r="E24" s="113">
        <v>2010</v>
      </c>
      <c r="F24" s="113">
        <v>12</v>
      </c>
      <c r="G24" s="116">
        <v>49.475000000000001</v>
      </c>
      <c r="H24" s="166"/>
      <c r="I24" s="165"/>
      <c r="J24" s="166"/>
      <c r="K24" s="167"/>
      <c r="L24" s="116">
        <v>61.671999999999997</v>
      </c>
      <c r="M24" s="166"/>
      <c r="N24" s="165"/>
      <c r="O24" s="166"/>
      <c r="P24" s="167"/>
      <c r="Q24" s="168"/>
      <c r="T24" s="114"/>
      <c r="U24" s="114"/>
    </row>
    <row r="25" spans="2:21" x14ac:dyDescent="0.3">
      <c r="B25" s="113" t="s">
        <v>146</v>
      </c>
      <c r="C25" s="113" t="s">
        <v>161</v>
      </c>
      <c r="D25" s="113" t="s">
        <v>27</v>
      </c>
      <c r="E25" s="113">
        <v>2011</v>
      </c>
      <c r="F25" s="113">
        <v>1</v>
      </c>
      <c r="G25" s="116">
        <v>48.139000000000003</v>
      </c>
      <c r="H25" s="166"/>
      <c r="I25" s="165"/>
      <c r="J25" s="166"/>
      <c r="K25" s="167"/>
      <c r="L25" s="116">
        <v>58.771000000000001</v>
      </c>
      <c r="M25" s="166"/>
      <c r="N25" s="165"/>
      <c r="O25" s="166"/>
      <c r="P25" s="167"/>
      <c r="Q25" s="168"/>
      <c r="T25" s="114"/>
      <c r="U25" s="114"/>
    </row>
    <row r="26" spans="2:21" x14ac:dyDescent="0.3">
      <c r="B26" s="113" t="s">
        <v>146</v>
      </c>
      <c r="C26" s="113" t="s">
        <v>161</v>
      </c>
      <c r="D26" s="113" t="s">
        <v>27</v>
      </c>
      <c r="E26" s="113">
        <v>2011</v>
      </c>
      <c r="F26" s="113">
        <v>2</v>
      </c>
      <c r="G26" s="116">
        <v>47.34</v>
      </c>
      <c r="H26" s="166"/>
      <c r="I26" s="165"/>
      <c r="J26" s="166"/>
      <c r="K26" s="167"/>
      <c r="L26" s="116">
        <v>64.558999999999997</v>
      </c>
      <c r="M26" s="166"/>
      <c r="N26" s="165"/>
      <c r="O26" s="166"/>
      <c r="P26" s="167"/>
      <c r="Q26" s="168"/>
      <c r="T26" s="114"/>
      <c r="U26" s="114"/>
    </row>
    <row r="27" spans="2:21" x14ac:dyDescent="0.3">
      <c r="B27" s="113" t="s">
        <v>146</v>
      </c>
      <c r="C27" s="113" t="s">
        <v>161</v>
      </c>
      <c r="D27" s="113" t="s">
        <v>27</v>
      </c>
      <c r="E27" s="113">
        <v>2011</v>
      </c>
      <c r="F27" s="113">
        <v>3</v>
      </c>
      <c r="G27" s="116">
        <v>45.460999999999999</v>
      </c>
      <c r="H27" s="166"/>
      <c r="I27" s="165"/>
      <c r="J27" s="166"/>
      <c r="K27" s="167"/>
      <c r="L27" s="116">
        <v>53.232999999999997</v>
      </c>
      <c r="M27" s="166"/>
      <c r="N27" s="165"/>
      <c r="O27" s="166"/>
      <c r="P27" s="167"/>
      <c r="Q27" s="168"/>
      <c r="T27" s="114"/>
      <c r="U27" s="114"/>
    </row>
    <row r="28" spans="2:21" x14ac:dyDescent="0.3">
      <c r="B28" s="113" t="s">
        <v>146</v>
      </c>
      <c r="C28" s="113" t="s">
        <v>161</v>
      </c>
      <c r="D28" s="113" t="s">
        <v>27</v>
      </c>
      <c r="E28" s="113">
        <v>2011</v>
      </c>
      <c r="F28" s="113">
        <v>4</v>
      </c>
      <c r="G28" s="116">
        <v>40.106999999999999</v>
      </c>
      <c r="H28" s="166"/>
      <c r="I28" s="165"/>
      <c r="J28" s="166"/>
      <c r="K28" s="167"/>
      <c r="L28" s="116">
        <v>50.533000000000001</v>
      </c>
      <c r="M28" s="166"/>
      <c r="N28" s="165"/>
      <c r="O28" s="166"/>
      <c r="P28" s="167"/>
      <c r="Q28" s="168"/>
      <c r="T28" s="114"/>
      <c r="U28" s="114"/>
    </row>
    <row r="29" spans="2:21" x14ac:dyDescent="0.3">
      <c r="B29" s="113" t="s">
        <v>146</v>
      </c>
      <c r="C29" s="113" t="s">
        <v>161</v>
      </c>
      <c r="D29" s="113" t="s">
        <v>28</v>
      </c>
      <c r="E29" s="113">
        <v>2011</v>
      </c>
      <c r="F29" s="113">
        <v>5</v>
      </c>
      <c r="G29" s="116">
        <v>58.848999999999997</v>
      </c>
      <c r="H29" s="166">
        <f>AVERAGE(G29:G40)</f>
        <v>51.799250000000008</v>
      </c>
      <c r="I29" s="165">
        <v>0</v>
      </c>
      <c r="J29" s="166">
        <f>IF(H29-I29&lt;0,0,H29-I29)</f>
        <v>51.799250000000008</v>
      </c>
      <c r="K29" s="167">
        <f>AVERAGE(G29:G40)/MAX(G29:G40)</f>
        <v>0.7373873617378679</v>
      </c>
      <c r="L29" s="116">
        <v>68.364999999999995</v>
      </c>
      <c r="M29" s="166">
        <f>AVERAGE(L29:L40)</f>
        <v>60.302916666666668</v>
      </c>
      <c r="N29" s="165">
        <f>140*0.81</f>
        <v>113.4</v>
      </c>
      <c r="O29" s="166">
        <f>IF(N29-M29&gt;0,N29-M29,0)</f>
        <v>53.097083333333337</v>
      </c>
      <c r="P29" s="167" t="e">
        <f>AVERAGE(#REF!)/MAX(#REF!)</f>
        <v>#REF!</v>
      </c>
      <c r="Q29" s="168">
        <f>IF(J29-O29&lt;0,0,J29-O29)</f>
        <v>0</v>
      </c>
      <c r="T29" s="114"/>
      <c r="U29" s="114"/>
    </row>
    <row r="30" spans="2:21" x14ac:dyDescent="0.3">
      <c r="B30" s="113" t="s">
        <v>146</v>
      </c>
      <c r="C30" s="113" t="s">
        <v>161</v>
      </c>
      <c r="D30" s="113" t="s">
        <v>28</v>
      </c>
      <c r="E30" s="113">
        <v>2011</v>
      </c>
      <c r="F30" s="113">
        <v>6</v>
      </c>
      <c r="G30" s="116">
        <v>60.853000000000002</v>
      </c>
      <c r="H30" s="166"/>
      <c r="I30" s="165"/>
      <c r="J30" s="166"/>
      <c r="K30" s="167"/>
      <c r="L30" s="116">
        <v>71.725999999999999</v>
      </c>
      <c r="M30" s="166"/>
      <c r="N30" s="165"/>
      <c r="O30" s="166"/>
      <c r="P30" s="167"/>
      <c r="Q30" s="168"/>
      <c r="T30" s="114"/>
      <c r="U30" s="114"/>
    </row>
    <row r="31" spans="2:21" x14ac:dyDescent="0.3">
      <c r="B31" s="113" t="s">
        <v>146</v>
      </c>
      <c r="C31" s="113" t="s">
        <v>161</v>
      </c>
      <c r="D31" s="113" t="s">
        <v>28</v>
      </c>
      <c r="E31" s="113">
        <v>2011</v>
      </c>
      <c r="F31" s="113">
        <v>7</v>
      </c>
      <c r="G31" s="116">
        <v>70.247</v>
      </c>
      <c r="H31" s="166"/>
      <c r="I31" s="165"/>
      <c r="J31" s="166"/>
      <c r="K31" s="167"/>
      <c r="L31" s="116">
        <v>79.716999999999999</v>
      </c>
      <c r="M31" s="166"/>
      <c r="N31" s="165"/>
      <c r="O31" s="166"/>
      <c r="P31" s="167"/>
      <c r="Q31" s="168"/>
      <c r="T31" s="114"/>
      <c r="U31" s="114"/>
    </row>
    <row r="32" spans="2:21" x14ac:dyDescent="0.3">
      <c r="B32" s="113" t="s">
        <v>146</v>
      </c>
      <c r="C32" s="113" t="s">
        <v>161</v>
      </c>
      <c r="D32" s="113" t="s">
        <v>28</v>
      </c>
      <c r="E32" s="113">
        <v>2011</v>
      </c>
      <c r="F32" s="113">
        <v>8</v>
      </c>
      <c r="G32" s="116">
        <v>57.524000000000001</v>
      </c>
      <c r="H32" s="166"/>
      <c r="I32" s="165"/>
      <c r="J32" s="166"/>
      <c r="K32" s="167"/>
      <c r="L32" s="116">
        <v>67.206000000000003</v>
      </c>
      <c r="M32" s="166"/>
      <c r="N32" s="165"/>
      <c r="O32" s="166"/>
      <c r="P32" s="167"/>
      <c r="Q32" s="168"/>
      <c r="T32" s="114"/>
      <c r="U32" s="114"/>
    </row>
    <row r="33" spans="2:21" x14ac:dyDescent="0.3">
      <c r="B33" s="113" t="s">
        <v>146</v>
      </c>
      <c r="C33" s="113" t="s">
        <v>161</v>
      </c>
      <c r="D33" s="113" t="s">
        <v>28</v>
      </c>
      <c r="E33" s="113">
        <v>2011</v>
      </c>
      <c r="F33" s="113">
        <v>9</v>
      </c>
      <c r="G33" s="116">
        <v>55.530999999999999</v>
      </c>
      <c r="H33" s="166"/>
      <c r="I33" s="165"/>
      <c r="J33" s="166"/>
      <c r="K33" s="167"/>
      <c r="L33" s="116">
        <v>63.045000000000002</v>
      </c>
      <c r="M33" s="166"/>
      <c r="N33" s="165"/>
      <c r="O33" s="166"/>
      <c r="P33" s="167"/>
      <c r="Q33" s="168"/>
      <c r="T33" s="114"/>
      <c r="U33" s="114"/>
    </row>
    <row r="34" spans="2:21" x14ac:dyDescent="0.3">
      <c r="B34" s="113" t="s">
        <v>146</v>
      </c>
      <c r="C34" s="113" t="s">
        <v>161</v>
      </c>
      <c r="D34" s="113" t="s">
        <v>28</v>
      </c>
      <c r="E34" s="113">
        <v>2011</v>
      </c>
      <c r="F34" s="113">
        <v>10</v>
      </c>
      <c r="G34" s="116">
        <v>40.625999999999998</v>
      </c>
      <c r="H34" s="166"/>
      <c r="I34" s="165"/>
      <c r="J34" s="166"/>
      <c r="K34" s="167"/>
      <c r="L34" s="116">
        <v>48.968000000000004</v>
      </c>
      <c r="M34" s="166"/>
      <c r="N34" s="165"/>
      <c r="O34" s="166"/>
      <c r="P34" s="167"/>
      <c r="Q34" s="168"/>
      <c r="T34" s="114"/>
      <c r="U34" s="114"/>
    </row>
    <row r="35" spans="2:21" x14ac:dyDescent="0.3">
      <c r="B35" s="113" t="s">
        <v>146</v>
      </c>
      <c r="C35" s="113" t="s">
        <v>161</v>
      </c>
      <c r="D35" s="113" t="s">
        <v>28</v>
      </c>
      <c r="E35" s="113">
        <v>2011</v>
      </c>
      <c r="F35" s="113">
        <v>11</v>
      </c>
      <c r="G35" s="116">
        <v>45.774000000000001</v>
      </c>
      <c r="H35" s="166"/>
      <c r="I35" s="165"/>
      <c r="J35" s="166"/>
      <c r="K35" s="167"/>
      <c r="L35" s="116">
        <v>54.451000000000001</v>
      </c>
      <c r="M35" s="166"/>
      <c r="N35" s="165"/>
      <c r="O35" s="166"/>
      <c r="P35" s="167"/>
      <c r="Q35" s="168"/>
      <c r="T35" s="114"/>
      <c r="U35" s="114"/>
    </row>
    <row r="36" spans="2:21" x14ac:dyDescent="0.3">
      <c r="B36" s="113" t="s">
        <v>146</v>
      </c>
      <c r="C36" s="113" t="s">
        <v>161</v>
      </c>
      <c r="D36" s="113" t="s">
        <v>28</v>
      </c>
      <c r="E36" s="113">
        <v>2011</v>
      </c>
      <c r="F36" s="113">
        <v>12</v>
      </c>
      <c r="G36" s="116">
        <v>48.530999999999999</v>
      </c>
      <c r="H36" s="166"/>
      <c r="I36" s="165"/>
      <c r="J36" s="166"/>
      <c r="K36" s="167"/>
      <c r="L36" s="116">
        <v>57.085999999999999</v>
      </c>
      <c r="M36" s="166"/>
      <c r="N36" s="165"/>
      <c r="O36" s="166"/>
      <c r="P36" s="167"/>
      <c r="Q36" s="168"/>
      <c r="T36" s="114"/>
      <c r="U36" s="114"/>
    </row>
    <row r="37" spans="2:21" x14ac:dyDescent="0.3">
      <c r="B37" s="113" t="s">
        <v>146</v>
      </c>
      <c r="C37" s="113" t="s">
        <v>161</v>
      </c>
      <c r="D37" s="113" t="s">
        <v>28</v>
      </c>
      <c r="E37" s="113">
        <v>2012</v>
      </c>
      <c r="F37" s="113">
        <v>1</v>
      </c>
      <c r="G37" s="116">
        <v>46.692</v>
      </c>
      <c r="H37" s="166"/>
      <c r="I37" s="165"/>
      <c r="J37" s="166"/>
      <c r="K37" s="167"/>
      <c r="L37" s="116">
        <v>59.649000000000001</v>
      </c>
      <c r="M37" s="166"/>
      <c r="N37" s="165"/>
      <c r="O37" s="166"/>
      <c r="P37" s="167"/>
      <c r="Q37" s="168"/>
      <c r="T37" s="114"/>
      <c r="U37" s="114"/>
    </row>
    <row r="38" spans="2:21" x14ac:dyDescent="0.3">
      <c r="B38" s="113" t="s">
        <v>146</v>
      </c>
      <c r="C38" s="113" t="s">
        <v>161</v>
      </c>
      <c r="D38" s="113" t="s">
        <v>28</v>
      </c>
      <c r="E38" s="113">
        <v>2012</v>
      </c>
      <c r="F38" s="113">
        <v>2</v>
      </c>
      <c r="G38" s="116">
        <v>43.746000000000002</v>
      </c>
      <c r="H38" s="166"/>
      <c r="I38" s="165"/>
      <c r="J38" s="166"/>
      <c r="K38" s="167"/>
      <c r="L38" s="116">
        <v>53.072000000000003</v>
      </c>
      <c r="M38" s="166"/>
      <c r="N38" s="165"/>
      <c r="O38" s="166"/>
      <c r="P38" s="167"/>
      <c r="Q38" s="168"/>
      <c r="T38" s="114"/>
      <c r="U38" s="114"/>
    </row>
    <row r="39" spans="2:21" x14ac:dyDescent="0.3">
      <c r="B39" s="113" t="s">
        <v>146</v>
      </c>
      <c r="C39" s="113" t="s">
        <v>161</v>
      </c>
      <c r="D39" s="113" t="s">
        <v>28</v>
      </c>
      <c r="E39" s="113">
        <v>2012</v>
      </c>
      <c r="F39" s="113">
        <v>3</v>
      </c>
      <c r="G39" s="116">
        <v>43.027999999999999</v>
      </c>
      <c r="H39" s="166"/>
      <c r="I39" s="165"/>
      <c r="J39" s="166"/>
      <c r="K39" s="167"/>
      <c r="L39" s="116">
        <v>52.472999999999999</v>
      </c>
      <c r="M39" s="166"/>
      <c r="N39" s="165"/>
      <c r="O39" s="166"/>
      <c r="P39" s="167"/>
      <c r="Q39" s="168"/>
      <c r="T39" s="114"/>
      <c r="U39" s="114"/>
    </row>
    <row r="40" spans="2:21" x14ac:dyDescent="0.3">
      <c r="B40" s="113" t="s">
        <v>146</v>
      </c>
      <c r="C40" s="113" t="s">
        <v>161</v>
      </c>
      <c r="D40" s="113" t="s">
        <v>28</v>
      </c>
      <c r="E40" s="113">
        <v>2012</v>
      </c>
      <c r="F40" s="113">
        <v>4</v>
      </c>
      <c r="G40" s="116">
        <v>50.19</v>
      </c>
      <c r="H40" s="166"/>
      <c r="I40" s="165"/>
      <c r="J40" s="166"/>
      <c r="K40" s="167"/>
      <c r="L40" s="116">
        <v>47.877000000000002</v>
      </c>
      <c r="M40" s="166"/>
      <c r="N40" s="165"/>
      <c r="O40" s="166"/>
      <c r="P40" s="167"/>
      <c r="Q40" s="168"/>
      <c r="T40" s="114"/>
      <c r="U40" s="114"/>
    </row>
    <row r="41" spans="2:21" x14ac:dyDescent="0.3">
      <c r="B41" s="113" t="s">
        <v>146</v>
      </c>
      <c r="C41" s="113" t="s">
        <v>161</v>
      </c>
      <c r="D41" s="113" t="s">
        <v>29</v>
      </c>
      <c r="E41" s="113">
        <v>2012</v>
      </c>
      <c r="F41" s="113">
        <v>5</v>
      </c>
      <c r="G41" s="116">
        <v>57.018000000000001</v>
      </c>
      <c r="H41" s="166">
        <f>AVERAGE(G41:G52)</f>
        <v>49.311916666666669</v>
      </c>
      <c r="I41" s="165">
        <v>0</v>
      </c>
      <c r="J41" s="166">
        <f>IF(H41-I41&lt;0,0,H41-I41)</f>
        <v>49.311916666666669</v>
      </c>
      <c r="K41" s="167">
        <f>AVERAGE(G41:G52)/MAX(G41:G52)</f>
        <v>0.78701368828170315</v>
      </c>
      <c r="L41" s="116">
        <v>65.391999999999996</v>
      </c>
      <c r="M41" s="166">
        <f>AVERAGE(L41:L52)</f>
        <v>63.413333333333327</v>
      </c>
      <c r="N41" s="165">
        <f>140*0.81</f>
        <v>113.4</v>
      </c>
      <c r="O41" s="166">
        <f>IF(N41-M41&gt;0,N41-M41,0)</f>
        <v>49.986666666666679</v>
      </c>
      <c r="P41" s="167" t="e">
        <f>AVERAGE(#REF!)/MAX(#REF!)</f>
        <v>#REF!</v>
      </c>
      <c r="Q41" s="168">
        <f>IF(J41-O41&lt;0,0,J41-O41)</f>
        <v>0</v>
      </c>
      <c r="T41" s="114"/>
      <c r="U41" s="114"/>
    </row>
    <row r="42" spans="2:21" x14ac:dyDescent="0.3">
      <c r="B42" s="113" t="s">
        <v>146</v>
      </c>
      <c r="C42" s="113" t="s">
        <v>161</v>
      </c>
      <c r="D42" s="113" t="s">
        <v>29</v>
      </c>
      <c r="E42" s="113">
        <v>2012</v>
      </c>
      <c r="F42" s="113">
        <v>6</v>
      </c>
      <c r="G42" s="116">
        <v>62.656999999999996</v>
      </c>
      <c r="H42" s="166"/>
      <c r="I42" s="165"/>
      <c r="J42" s="166"/>
      <c r="K42" s="167"/>
      <c r="L42" s="116">
        <v>93.543000000000006</v>
      </c>
      <c r="M42" s="166"/>
      <c r="N42" s="165"/>
      <c r="O42" s="166"/>
      <c r="P42" s="167"/>
      <c r="Q42" s="168"/>
      <c r="T42" s="114"/>
      <c r="U42" s="114"/>
    </row>
    <row r="43" spans="2:21" x14ac:dyDescent="0.3">
      <c r="B43" s="113" t="s">
        <v>146</v>
      </c>
      <c r="C43" s="113" t="s">
        <v>161</v>
      </c>
      <c r="D43" s="113" t="s">
        <v>29</v>
      </c>
      <c r="E43" s="113">
        <v>2012</v>
      </c>
      <c r="F43" s="113">
        <v>7</v>
      </c>
      <c r="G43" s="116">
        <v>56.691000000000003</v>
      </c>
      <c r="H43" s="166"/>
      <c r="I43" s="165"/>
      <c r="J43" s="166"/>
      <c r="K43" s="167"/>
      <c r="L43" s="116">
        <v>90.724999999999994</v>
      </c>
      <c r="M43" s="166"/>
      <c r="N43" s="165"/>
      <c r="O43" s="166"/>
      <c r="P43" s="167"/>
      <c r="Q43" s="168"/>
      <c r="T43" s="114"/>
      <c r="U43" s="114"/>
    </row>
    <row r="44" spans="2:21" x14ac:dyDescent="0.3">
      <c r="B44" s="113" t="s">
        <v>146</v>
      </c>
      <c r="C44" s="113" t="s">
        <v>161</v>
      </c>
      <c r="D44" s="113" t="s">
        <v>29</v>
      </c>
      <c r="E44" s="113">
        <v>2012</v>
      </c>
      <c r="F44" s="113">
        <v>8</v>
      </c>
      <c r="G44" s="116">
        <v>48.945999999999998</v>
      </c>
      <c r="H44" s="166"/>
      <c r="I44" s="165"/>
      <c r="J44" s="166"/>
      <c r="K44" s="167"/>
      <c r="L44" s="116">
        <v>76.471000000000004</v>
      </c>
      <c r="M44" s="166"/>
      <c r="N44" s="165"/>
      <c r="O44" s="166"/>
      <c r="P44" s="167"/>
      <c r="Q44" s="168"/>
      <c r="T44" s="114"/>
      <c r="U44" s="114"/>
    </row>
    <row r="45" spans="2:21" x14ac:dyDescent="0.3">
      <c r="B45" s="113" t="s">
        <v>146</v>
      </c>
      <c r="C45" s="113" t="s">
        <v>161</v>
      </c>
      <c r="D45" s="113" t="s">
        <v>29</v>
      </c>
      <c r="E45" s="113">
        <v>2012</v>
      </c>
      <c r="F45" s="113">
        <v>9</v>
      </c>
      <c r="G45" s="116">
        <v>43.517000000000003</v>
      </c>
      <c r="H45" s="166"/>
      <c r="I45" s="165"/>
      <c r="J45" s="166"/>
      <c r="K45" s="167"/>
      <c r="L45" s="116">
        <v>70.879000000000005</v>
      </c>
      <c r="M45" s="166"/>
      <c r="N45" s="165"/>
      <c r="O45" s="166"/>
      <c r="P45" s="167"/>
      <c r="Q45" s="168"/>
      <c r="T45" s="114"/>
      <c r="U45" s="114"/>
    </row>
    <row r="46" spans="2:21" x14ac:dyDescent="0.3">
      <c r="B46" s="113" t="s">
        <v>146</v>
      </c>
      <c r="C46" s="113" t="s">
        <v>161</v>
      </c>
      <c r="D46" s="113" t="s">
        <v>29</v>
      </c>
      <c r="E46" s="113">
        <v>2012</v>
      </c>
      <c r="F46" s="113">
        <v>10</v>
      </c>
      <c r="G46" s="116">
        <v>34.256999999999998</v>
      </c>
      <c r="H46" s="166"/>
      <c r="I46" s="165"/>
      <c r="J46" s="166"/>
      <c r="K46" s="167"/>
      <c r="L46" s="116">
        <v>56.207999999999998</v>
      </c>
      <c r="M46" s="166"/>
      <c r="N46" s="165"/>
      <c r="O46" s="166"/>
      <c r="P46" s="167"/>
      <c r="Q46" s="168"/>
      <c r="T46" s="114"/>
      <c r="U46" s="114"/>
    </row>
    <row r="47" spans="2:21" x14ac:dyDescent="0.3">
      <c r="B47" s="113" t="s">
        <v>146</v>
      </c>
      <c r="C47" s="113" t="s">
        <v>161</v>
      </c>
      <c r="D47" s="113" t="s">
        <v>29</v>
      </c>
      <c r="E47" s="113">
        <v>2012</v>
      </c>
      <c r="F47" s="113">
        <v>11</v>
      </c>
      <c r="G47" s="116">
        <v>39.502000000000002</v>
      </c>
      <c r="H47" s="166"/>
      <c r="I47" s="165"/>
      <c r="J47" s="166"/>
      <c r="K47" s="167"/>
      <c r="L47" s="116">
        <v>58.673999999999999</v>
      </c>
      <c r="M47" s="166"/>
      <c r="N47" s="165"/>
      <c r="O47" s="166"/>
      <c r="P47" s="167"/>
      <c r="Q47" s="168"/>
      <c r="T47" s="114"/>
      <c r="U47" s="114"/>
    </row>
    <row r="48" spans="2:21" x14ac:dyDescent="0.3">
      <c r="B48" s="113" t="s">
        <v>146</v>
      </c>
      <c r="C48" s="113" t="s">
        <v>161</v>
      </c>
      <c r="D48" s="113" t="s">
        <v>29</v>
      </c>
      <c r="E48" s="113">
        <v>2012</v>
      </c>
      <c r="F48" s="113">
        <v>12</v>
      </c>
      <c r="G48" s="116">
        <v>49.432000000000002</v>
      </c>
      <c r="H48" s="166"/>
      <c r="I48" s="165"/>
      <c r="J48" s="166"/>
      <c r="K48" s="167"/>
      <c r="L48" s="116">
        <v>51.609000000000002</v>
      </c>
      <c r="M48" s="166"/>
      <c r="N48" s="165"/>
      <c r="O48" s="166"/>
      <c r="P48" s="167"/>
      <c r="Q48" s="168"/>
      <c r="T48" s="114"/>
      <c r="U48" s="114"/>
    </row>
    <row r="49" spans="2:21" x14ac:dyDescent="0.3">
      <c r="B49" s="113" t="s">
        <v>146</v>
      </c>
      <c r="C49" s="113" t="s">
        <v>161</v>
      </c>
      <c r="D49" s="113" t="s">
        <v>29</v>
      </c>
      <c r="E49" s="113">
        <v>2013</v>
      </c>
      <c r="F49" s="113">
        <v>1</v>
      </c>
      <c r="G49" s="116">
        <v>50.171999999999997</v>
      </c>
      <c r="H49" s="166"/>
      <c r="I49" s="165"/>
      <c r="J49" s="166"/>
      <c r="K49" s="167"/>
      <c r="L49" s="116">
        <v>54.466999999999999</v>
      </c>
      <c r="M49" s="166"/>
      <c r="N49" s="165"/>
      <c r="O49" s="166"/>
      <c r="P49" s="167"/>
      <c r="Q49" s="168"/>
      <c r="T49" s="114"/>
      <c r="U49" s="114"/>
    </row>
    <row r="50" spans="2:21" x14ac:dyDescent="0.3">
      <c r="B50" s="113" t="s">
        <v>146</v>
      </c>
      <c r="C50" s="113" t="s">
        <v>161</v>
      </c>
      <c r="D50" s="113" t="s">
        <v>29</v>
      </c>
      <c r="E50" s="113">
        <v>2013</v>
      </c>
      <c r="F50" s="113">
        <v>2</v>
      </c>
      <c r="G50" s="116">
        <v>56.957000000000001</v>
      </c>
      <c r="H50" s="166"/>
      <c r="I50" s="165"/>
      <c r="J50" s="166"/>
      <c r="K50" s="167"/>
      <c r="L50" s="116">
        <v>51.819000000000003</v>
      </c>
      <c r="M50" s="166"/>
      <c r="N50" s="165"/>
      <c r="O50" s="166"/>
      <c r="P50" s="167"/>
      <c r="Q50" s="168"/>
      <c r="T50" s="114"/>
      <c r="U50" s="114"/>
    </row>
    <row r="51" spans="2:21" x14ac:dyDescent="0.3">
      <c r="B51" s="113" t="s">
        <v>146</v>
      </c>
      <c r="C51" s="113" t="s">
        <v>161</v>
      </c>
      <c r="D51" s="113" t="s">
        <v>29</v>
      </c>
      <c r="E51" s="113">
        <v>2013</v>
      </c>
      <c r="F51" s="113">
        <v>3</v>
      </c>
      <c r="G51" s="116">
        <v>45.715000000000003</v>
      </c>
      <c r="H51" s="166"/>
      <c r="I51" s="165"/>
      <c r="J51" s="166"/>
      <c r="K51" s="167"/>
      <c r="L51" s="116">
        <v>49.524000000000001</v>
      </c>
      <c r="M51" s="166"/>
      <c r="N51" s="165"/>
      <c r="O51" s="166"/>
      <c r="P51" s="167"/>
      <c r="Q51" s="168"/>
      <c r="T51" s="114"/>
      <c r="U51" s="114"/>
    </row>
    <row r="52" spans="2:21" x14ac:dyDescent="0.3">
      <c r="B52" s="113" t="s">
        <v>146</v>
      </c>
      <c r="C52" s="113" t="s">
        <v>161</v>
      </c>
      <c r="D52" s="113" t="s">
        <v>29</v>
      </c>
      <c r="E52" s="113">
        <v>2013</v>
      </c>
      <c r="F52" s="113">
        <v>4</v>
      </c>
      <c r="G52" s="116">
        <v>46.878999999999998</v>
      </c>
      <c r="H52" s="166"/>
      <c r="I52" s="165"/>
      <c r="J52" s="166"/>
      <c r="K52" s="167"/>
      <c r="L52" s="116">
        <v>41.649000000000001</v>
      </c>
      <c r="M52" s="166"/>
      <c r="N52" s="165"/>
      <c r="O52" s="166"/>
      <c r="P52" s="167"/>
      <c r="Q52" s="168"/>
      <c r="T52" s="114"/>
      <c r="U52" s="114"/>
    </row>
    <row r="53" spans="2:21" x14ac:dyDescent="0.3">
      <c r="B53" s="113" t="s">
        <v>146</v>
      </c>
      <c r="C53" s="113" t="s">
        <v>161</v>
      </c>
      <c r="D53" s="113" t="s">
        <v>30</v>
      </c>
      <c r="E53" s="113">
        <v>2013</v>
      </c>
      <c r="F53" s="113">
        <v>5</v>
      </c>
      <c r="G53" s="116">
        <v>54.427999999999997</v>
      </c>
      <c r="H53" s="166">
        <f>AVERAGE(G53:G64)</f>
        <v>53.798916666666663</v>
      </c>
      <c r="I53" s="165">
        <v>0</v>
      </c>
      <c r="J53" s="166">
        <f>IF(H53-I53&lt;0,0,H53-I53)</f>
        <v>53.798916666666663</v>
      </c>
      <c r="K53" s="167">
        <f>AVERAGE(G53:G64)/MAX(G53:G64)</f>
        <v>0.78758167542588331</v>
      </c>
      <c r="L53" s="116">
        <v>65.066000000000003</v>
      </c>
      <c r="M53" s="166">
        <f>AVERAGE(L53:L64)</f>
        <v>64.705916666666667</v>
      </c>
      <c r="N53" s="165">
        <f>140*0.81</f>
        <v>113.4</v>
      </c>
      <c r="O53" s="166">
        <f>IF(N53-M53&gt;0,N53-M53,0)</f>
        <v>48.694083333333339</v>
      </c>
      <c r="P53" s="167" t="e">
        <f>AVERAGE(#REF!)/MAX(#REF!)</f>
        <v>#REF!</v>
      </c>
      <c r="Q53" s="168">
        <f>IF(J53-O53&lt;0,0,J53-O53)</f>
        <v>5.1048333333333247</v>
      </c>
      <c r="T53" s="114"/>
      <c r="U53" s="114"/>
    </row>
    <row r="54" spans="2:21" x14ac:dyDescent="0.3">
      <c r="B54" s="113" t="s">
        <v>146</v>
      </c>
      <c r="C54" s="113" t="s">
        <v>161</v>
      </c>
      <c r="D54" s="113" t="s">
        <v>30</v>
      </c>
      <c r="E54" s="113">
        <v>2013</v>
      </c>
      <c r="F54" s="113">
        <v>6</v>
      </c>
      <c r="G54" s="116">
        <v>64.379000000000005</v>
      </c>
      <c r="H54" s="166"/>
      <c r="I54" s="165"/>
      <c r="J54" s="166"/>
      <c r="K54" s="167"/>
      <c r="L54" s="116">
        <v>74.483999999999995</v>
      </c>
      <c r="M54" s="166"/>
      <c r="N54" s="165"/>
      <c r="O54" s="166"/>
      <c r="P54" s="167"/>
      <c r="Q54" s="168"/>
      <c r="T54" s="114"/>
      <c r="U54" s="114"/>
    </row>
    <row r="55" spans="2:21" x14ac:dyDescent="0.3">
      <c r="B55" s="113" t="s">
        <v>146</v>
      </c>
      <c r="C55" s="113" t="s">
        <v>161</v>
      </c>
      <c r="D55" s="113" t="s">
        <v>30</v>
      </c>
      <c r="E55" s="113">
        <v>2013</v>
      </c>
      <c r="F55" s="113">
        <v>7</v>
      </c>
      <c r="G55" s="116">
        <v>68.308999999999997</v>
      </c>
      <c r="H55" s="166"/>
      <c r="I55" s="165"/>
      <c r="J55" s="166"/>
      <c r="K55" s="167"/>
      <c r="L55" s="116">
        <v>91.231999999999999</v>
      </c>
      <c r="M55" s="166"/>
      <c r="N55" s="165"/>
      <c r="O55" s="166"/>
      <c r="P55" s="167"/>
      <c r="Q55" s="168"/>
      <c r="T55" s="114"/>
      <c r="U55" s="114"/>
    </row>
    <row r="56" spans="2:21" x14ac:dyDescent="0.3">
      <c r="B56" s="113" t="s">
        <v>146</v>
      </c>
      <c r="C56" s="113" t="s">
        <v>161</v>
      </c>
      <c r="D56" s="113" t="s">
        <v>30</v>
      </c>
      <c r="E56" s="113">
        <v>2013</v>
      </c>
      <c r="F56" s="113">
        <v>8</v>
      </c>
      <c r="G56" s="116">
        <v>58.625</v>
      </c>
      <c r="H56" s="166"/>
      <c r="I56" s="165"/>
      <c r="J56" s="166"/>
      <c r="K56" s="167"/>
      <c r="L56" s="116">
        <v>70.667000000000002</v>
      </c>
      <c r="M56" s="166"/>
      <c r="N56" s="165"/>
      <c r="O56" s="166"/>
      <c r="P56" s="167"/>
      <c r="Q56" s="168"/>
      <c r="T56" s="114"/>
      <c r="U56" s="114"/>
    </row>
    <row r="57" spans="2:21" x14ac:dyDescent="0.3">
      <c r="B57" s="113" t="s">
        <v>146</v>
      </c>
      <c r="C57" s="113" t="s">
        <v>161</v>
      </c>
      <c r="D57" s="113" t="s">
        <v>30</v>
      </c>
      <c r="E57" s="113">
        <v>2013</v>
      </c>
      <c r="F57" s="113">
        <v>9</v>
      </c>
      <c r="G57" s="116">
        <v>63.095999999999997</v>
      </c>
      <c r="H57" s="166"/>
      <c r="I57" s="165"/>
      <c r="J57" s="166"/>
      <c r="K57" s="167"/>
      <c r="L57" s="116">
        <v>72.176000000000002</v>
      </c>
      <c r="M57" s="166"/>
      <c r="N57" s="165"/>
      <c r="O57" s="166"/>
      <c r="P57" s="167"/>
      <c r="Q57" s="168"/>
      <c r="T57" s="114"/>
      <c r="U57" s="114"/>
    </row>
    <row r="58" spans="2:21" x14ac:dyDescent="0.3">
      <c r="B58" s="113" t="s">
        <v>146</v>
      </c>
      <c r="C58" s="113" t="s">
        <v>161</v>
      </c>
      <c r="D58" s="113" t="s">
        <v>30</v>
      </c>
      <c r="E58" s="113">
        <v>2013</v>
      </c>
      <c r="F58" s="113">
        <v>10</v>
      </c>
      <c r="G58" s="116">
        <v>40.210999999999999</v>
      </c>
      <c r="H58" s="166"/>
      <c r="I58" s="165"/>
      <c r="J58" s="166"/>
      <c r="K58" s="167"/>
      <c r="L58" s="116">
        <v>55.296999999999997</v>
      </c>
      <c r="M58" s="166"/>
      <c r="N58" s="165"/>
      <c r="O58" s="166"/>
      <c r="P58" s="167"/>
      <c r="Q58" s="168"/>
      <c r="T58" s="114"/>
      <c r="U58" s="114"/>
    </row>
    <row r="59" spans="2:21" x14ac:dyDescent="0.3">
      <c r="B59" s="113" t="s">
        <v>146</v>
      </c>
      <c r="C59" s="113" t="s">
        <v>161</v>
      </c>
      <c r="D59" s="113" t="s">
        <v>30</v>
      </c>
      <c r="E59" s="113">
        <v>2013</v>
      </c>
      <c r="F59" s="113">
        <v>11</v>
      </c>
      <c r="G59" s="116">
        <v>63.124000000000002</v>
      </c>
      <c r="H59" s="166"/>
      <c r="I59" s="165"/>
      <c r="J59" s="166"/>
      <c r="K59" s="167"/>
      <c r="L59" s="116">
        <v>53.863999999999997</v>
      </c>
      <c r="M59" s="166"/>
      <c r="N59" s="165"/>
      <c r="O59" s="166"/>
      <c r="P59" s="167"/>
      <c r="Q59" s="168"/>
      <c r="T59" s="114"/>
      <c r="U59" s="114"/>
    </row>
    <row r="60" spans="2:21" x14ac:dyDescent="0.3">
      <c r="B60" s="113" t="s">
        <v>146</v>
      </c>
      <c r="C60" s="113" t="s">
        <v>161</v>
      </c>
      <c r="D60" s="113" t="s">
        <v>30</v>
      </c>
      <c r="E60" s="113">
        <v>2013</v>
      </c>
      <c r="F60" s="113">
        <v>12</v>
      </c>
      <c r="G60" s="116">
        <v>62.889000000000003</v>
      </c>
      <c r="H60" s="166"/>
      <c r="I60" s="165"/>
      <c r="J60" s="166"/>
      <c r="K60" s="167"/>
      <c r="L60" s="116">
        <v>62.344999999999999</v>
      </c>
      <c r="M60" s="166"/>
      <c r="N60" s="165"/>
      <c r="O60" s="166"/>
      <c r="P60" s="167"/>
      <c r="Q60" s="168"/>
      <c r="T60" s="114"/>
      <c r="U60" s="114"/>
    </row>
    <row r="61" spans="2:21" x14ac:dyDescent="0.3">
      <c r="B61" s="113" t="s">
        <v>146</v>
      </c>
      <c r="C61" s="113" t="s">
        <v>161</v>
      </c>
      <c r="D61" s="113" t="s">
        <v>30</v>
      </c>
      <c r="E61" s="113">
        <v>2014</v>
      </c>
      <c r="F61" s="113">
        <v>1</v>
      </c>
      <c r="G61" s="116">
        <v>46.582000000000001</v>
      </c>
      <c r="H61" s="166"/>
      <c r="I61" s="165"/>
      <c r="J61" s="166"/>
      <c r="K61" s="167"/>
      <c r="L61" s="116">
        <v>62.893000000000001</v>
      </c>
      <c r="M61" s="166"/>
      <c r="N61" s="165"/>
      <c r="O61" s="166"/>
      <c r="P61" s="167"/>
      <c r="Q61" s="168"/>
      <c r="T61" s="114"/>
      <c r="U61" s="114"/>
    </row>
    <row r="62" spans="2:21" x14ac:dyDescent="0.3">
      <c r="B62" s="113" t="s">
        <v>146</v>
      </c>
      <c r="C62" s="113" t="s">
        <v>161</v>
      </c>
      <c r="D62" s="113" t="s">
        <v>30</v>
      </c>
      <c r="E62" s="113">
        <v>2014</v>
      </c>
      <c r="F62" s="113">
        <v>2</v>
      </c>
      <c r="G62" s="116">
        <v>43.472999999999999</v>
      </c>
      <c r="H62" s="166"/>
      <c r="I62" s="165"/>
      <c r="J62" s="166"/>
      <c r="K62" s="167"/>
      <c r="L62" s="116">
        <v>59.625</v>
      </c>
      <c r="M62" s="166"/>
      <c r="N62" s="165"/>
      <c r="O62" s="166"/>
      <c r="P62" s="167"/>
      <c r="Q62" s="168"/>
      <c r="T62" s="114"/>
      <c r="U62" s="114"/>
    </row>
    <row r="63" spans="2:21" x14ac:dyDescent="0.3">
      <c r="B63" s="113" t="s">
        <v>146</v>
      </c>
      <c r="C63" s="113" t="s">
        <v>161</v>
      </c>
      <c r="D63" s="113" t="s">
        <v>30</v>
      </c>
      <c r="E63" s="113">
        <v>2014</v>
      </c>
      <c r="F63" s="113">
        <v>3</v>
      </c>
      <c r="G63" s="116">
        <v>42.822000000000003</v>
      </c>
      <c r="H63" s="166"/>
      <c r="I63" s="165"/>
      <c r="J63" s="166"/>
      <c r="K63" s="167"/>
      <c r="L63" s="116">
        <v>58.43</v>
      </c>
      <c r="M63" s="166"/>
      <c r="N63" s="165"/>
      <c r="O63" s="166"/>
      <c r="P63" s="167"/>
      <c r="Q63" s="168"/>
      <c r="T63" s="114"/>
      <c r="U63" s="114"/>
    </row>
    <row r="64" spans="2:21" x14ac:dyDescent="0.3">
      <c r="B64" s="113" t="s">
        <v>146</v>
      </c>
      <c r="C64" s="113" t="s">
        <v>161</v>
      </c>
      <c r="D64" s="113" t="s">
        <v>30</v>
      </c>
      <c r="E64" s="113">
        <v>2014</v>
      </c>
      <c r="F64" s="113">
        <v>4</v>
      </c>
      <c r="G64" s="116">
        <v>37.649000000000001</v>
      </c>
      <c r="H64" s="166"/>
      <c r="I64" s="165"/>
      <c r="J64" s="166"/>
      <c r="K64" s="167"/>
      <c r="L64" s="116">
        <v>50.392000000000003</v>
      </c>
      <c r="M64" s="166"/>
      <c r="N64" s="165"/>
      <c r="O64" s="166"/>
      <c r="P64" s="167"/>
      <c r="Q64" s="168"/>
      <c r="T64" s="114"/>
      <c r="U64" s="114"/>
    </row>
    <row r="65" spans="2:21" x14ac:dyDescent="0.3">
      <c r="B65" s="113" t="s">
        <v>146</v>
      </c>
      <c r="C65" s="113" t="s">
        <v>161</v>
      </c>
      <c r="D65" s="113" t="s">
        <v>53</v>
      </c>
      <c r="E65" s="113">
        <v>2014</v>
      </c>
      <c r="F65" s="113">
        <v>5</v>
      </c>
      <c r="G65" s="118">
        <v>48.354999999999997</v>
      </c>
      <c r="H65" s="166">
        <f>AVERAGE(G65:G76)</f>
        <v>48.939200300000003</v>
      </c>
      <c r="I65" s="165">
        <v>0</v>
      </c>
      <c r="J65" s="166">
        <f>IF(H65-I65&lt;0,0,H65-I65)</f>
        <v>48.939200300000003</v>
      </c>
      <c r="K65" s="167">
        <f>AVERAGE(G65:G76)/MAX(G65:G76)</f>
        <v>0.85762046100940803</v>
      </c>
      <c r="L65" s="118">
        <v>55.024000000000001</v>
      </c>
      <c r="M65" s="166">
        <f>AVERAGE(L65:L76)</f>
        <v>59.787800858333327</v>
      </c>
      <c r="N65" s="165">
        <f>140*0.81</f>
        <v>113.4</v>
      </c>
      <c r="O65" s="166">
        <f>IF(N65-M65&gt;0,N65-M65,0)</f>
        <v>53.612199141666679</v>
      </c>
      <c r="P65" s="167" t="e">
        <f>AVERAGE(#REF!)/MAX(#REF!)</f>
        <v>#REF!</v>
      </c>
      <c r="Q65" s="168">
        <f>IF(J65-O65&lt;0,0,J65-O65)</f>
        <v>0</v>
      </c>
      <c r="U65" s="114"/>
    </row>
    <row r="66" spans="2:21" x14ac:dyDescent="0.3">
      <c r="B66" s="113" t="s">
        <v>146</v>
      </c>
      <c r="C66" s="113" t="s">
        <v>161</v>
      </c>
      <c r="D66" s="113" t="s">
        <v>53</v>
      </c>
      <c r="E66" s="113">
        <v>2014</v>
      </c>
      <c r="F66" s="113">
        <v>6</v>
      </c>
      <c r="G66" s="118">
        <v>55.061</v>
      </c>
      <c r="H66" s="166"/>
      <c r="I66" s="165"/>
      <c r="J66" s="166"/>
      <c r="K66" s="167"/>
      <c r="L66" s="118">
        <v>62.731000000000002</v>
      </c>
      <c r="M66" s="166"/>
      <c r="N66" s="165"/>
      <c r="O66" s="166"/>
      <c r="P66" s="167"/>
      <c r="Q66" s="168"/>
      <c r="U66" s="114"/>
    </row>
    <row r="67" spans="2:21" x14ac:dyDescent="0.3">
      <c r="B67" s="113" t="s">
        <v>146</v>
      </c>
      <c r="C67" s="113" t="s">
        <v>161</v>
      </c>
      <c r="D67" s="113" t="s">
        <v>53</v>
      </c>
      <c r="E67" s="113">
        <v>2014</v>
      </c>
      <c r="F67" s="113">
        <v>7</v>
      </c>
      <c r="G67" s="116">
        <v>55.912044999999999</v>
      </c>
      <c r="H67" s="166"/>
      <c r="I67" s="165"/>
      <c r="J67" s="166"/>
      <c r="K67" s="167"/>
      <c r="L67" s="116">
        <v>69.360987899999998</v>
      </c>
      <c r="M67" s="166"/>
      <c r="N67" s="165"/>
      <c r="O67" s="166"/>
      <c r="P67" s="167"/>
      <c r="Q67" s="168"/>
      <c r="U67" s="114"/>
    </row>
    <row r="68" spans="2:21" x14ac:dyDescent="0.3">
      <c r="B68" s="113" t="s">
        <v>146</v>
      </c>
      <c r="C68" s="113" t="s">
        <v>161</v>
      </c>
      <c r="D68" s="113" t="s">
        <v>53</v>
      </c>
      <c r="E68" s="113">
        <v>2014</v>
      </c>
      <c r="F68" s="113">
        <v>8</v>
      </c>
      <c r="G68" s="116">
        <v>55.559645799999998</v>
      </c>
      <c r="H68" s="166"/>
      <c r="I68" s="165"/>
      <c r="J68" s="166"/>
      <c r="K68" s="167"/>
      <c r="L68" s="116">
        <v>71.099435599999993</v>
      </c>
      <c r="M68" s="166"/>
      <c r="N68" s="165"/>
      <c r="O68" s="166"/>
      <c r="P68" s="167"/>
      <c r="Q68" s="168"/>
      <c r="U68" s="114"/>
    </row>
    <row r="69" spans="2:21" x14ac:dyDescent="0.3">
      <c r="B69" s="113" t="s">
        <v>146</v>
      </c>
      <c r="C69" s="113" t="s">
        <v>161</v>
      </c>
      <c r="D69" s="113" t="s">
        <v>53</v>
      </c>
      <c r="E69" s="113">
        <v>2014</v>
      </c>
      <c r="F69" s="113">
        <v>9</v>
      </c>
      <c r="G69" s="116">
        <v>57.0639374</v>
      </c>
      <c r="H69" s="166"/>
      <c r="I69" s="165"/>
      <c r="J69" s="166"/>
      <c r="K69" s="167"/>
      <c r="L69" s="116">
        <v>71.333503500000006</v>
      </c>
      <c r="M69" s="166"/>
      <c r="N69" s="165"/>
      <c r="O69" s="166"/>
      <c r="P69" s="167"/>
      <c r="Q69" s="168"/>
      <c r="U69" s="114"/>
    </row>
    <row r="70" spans="2:21" x14ac:dyDescent="0.3">
      <c r="B70" s="113" t="s">
        <v>146</v>
      </c>
      <c r="C70" s="113" t="s">
        <v>161</v>
      </c>
      <c r="D70" s="113" t="s">
        <v>53</v>
      </c>
      <c r="E70" s="113">
        <v>2014</v>
      </c>
      <c r="F70" s="113">
        <v>10</v>
      </c>
      <c r="G70" s="116">
        <v>37.3808899</v>
      </c>
      <c r="H70" s="166"/>
      <c r="I70" s="165"/>
      <c r="J70" s="166"/>
      <c r="K70" s="167"/>
      <c r="L70" s="116">
        <v>48.043207699999996</v>
      </c>
      <c r="M70" s="166"/>
      <c r="N70" s="165"/>
      <c r="O70" s="166"/>
      <c r="P70" s="167"/>
      <c r="Q70" s="168"/>
      <c r="U70" s="114"/>
    </row>
    <row r="71" spans="2:21" x14ac:dyDescent="0.3">
      <c r="B71" s="113" t="s">
        <v>146</v>
      </c>
      <c r="C71" s="113" t="s">
        <v>161</v>
      </c>
      <c r="D71" s="113" t="s">
        <v>53</v>
      </c>
      <c r="E71" s="113">
        <v>2014</v>
      </c>
      <c r="F71" s="113">
        <v>11</v>
      </c>
      <c r="G71" s="116">
        <v>51.289315699999996</v>
      </c>
      <c r="H71" s="166"/>
      <c r="I71" s="165"/>
      <c r="J71" s="166"/>
      <c r="K71" s="167"/>
      <c r="L71" s="116">
        <v>56.387523299999998</v>
      </c>
      <c r="M71" s="166"/>
      <c r="N71" s="165"/>
      <c r="O71" s="166"/>
      <c r="P71" s="167"/>
      <c r="Q71" s="168"/>
      <c r="U71" s="114"/>
    </row>
    <row r="72" spans="2:21" x14ac:dyDescent="0.3">
      <c r="B72" s="113" t="s">
        <v>146</v>
      </c>
      <c r="C72" s="113" t="s">
        <v>161</v>
      </c>
      <c r="D72" s="113" t="s">
        <v>53</v>
      </c>
      <c r="E72" s="113">
        <v>2014</v>
      </c>
      <c r="F72" s="113">
        <v>12</v>
      </c>
      <c r="G72" s="116">
        <v>56.563035999999997</v>
      </c>
      <c r="H72" s="166"/>
      <c r="I72" s="165"/>
      <c r="J72" s="166"/>
      <c r="K72" s="167"/>
      <c r="L72" s="116">
        <v>58.009586900000002</v>
      </c>
      <c r="M72" s="166"/>
      <c r="N72" s="165"/>
      <c r="O72" s="166"/>
      <c r="P72" s="167"/>
      <c r="Q72" s="168"/>
      <c r="U72" s="114"/>
    </row>
    <row r="73" spans="2:21" x14ac:dyDescent="0.3">
      <c r="B73" s="113" t="s">
        <v>146</v>
      </c>
      <c r="C73" s="113" t="s">
        <v>161</v>
      </c>
      <c r="D73" s="113" t="s">
        <v>53</v>
      </c>
      <c r="E73" s="113">
        <v>2015</v>
      </c>
      <c r="F73" s="113">
        <v>1</v>
      </c>
      <c r="G73" s="116">
        <v>45.580135399999996</v>
      </c>
      <c r="H73" s="166"/>
      <c r="I73" s="165"/>
      <c r="J73" s="166"/>
      <c r="K73" s="167"/>
      <c r="L73" s="116">
        <v>60.753781799999999</v>
      </c>
      <c r="M73" s="166"/>
      <c r="N73" s="165"/>
      <c r="O73" s="166"/>
      <c r="P73" s="167"/>
      <c r="Q73" s="168"/>
      <c r="U73" s="114"/>
    </row>
    <row r="74" spans="2:21" x14ac:dyDescent="0.3">
      <c r="B74" s="113" t="s">
        <v>146</v>
      </c>
      <c r="C74" s="113" t="s">
        <v>161</v>
      </c>
      <c r="D74" s="113" t="s">
        <v>53</v>
      </c>
      <c r="E74" s="113">
        <v>2015</v>
      </c>
      <c r="F74" s="113">
        <v>2</v>
      </c>
      <c r="G74" s="116">
        <v>45.232494299999999</v>
      </c>
      <c r="H74" s="166"/>
      <c r="I74" s="165"/>
      <c r="J74" s="166"/>
      <c r="K74" s="167"/>
      <c r="L74" s="116">
        <v>59.159133400000002</v>
      </c>
      <c r="M74" s="166"/>
      <c r="N74" s="165"/>
      <c r="O74" s="166"/>
      <c r="P74" s="167"/>
      <c r="Q74" s="168"/>
      <c r="U74" s="114"/>
    </row>
    <row r="75" spans="2:21" x14ac:dyDescent="0.3">
      <c r="B75" s="113" t="s">
        <v>146</v>
      </c>
      <c r="C75" s="113" t="s">
        <v>161</v>
      </c>
      <c r="D75" s="113" t="s">
        <v>53</v>
      </c>
      <c r="E75" s="113">
        <v>2015</v>
      </c>
      <c r="F75" s="113">
        <v>3</v>
      </c>
      <c r="G75" s="116">
        <v>42.212004500000006</v>
      </c>
      <c r="H75" s="166"/>
      <c r="I75" s="165"/>
      <c r="J75" s="166"/>
      <c r="K75" s="167"/>
      <c r="L75" s="116">
        <v>55.814700700000003</v>
      </c>
      <c r="M75" s="166"/>
      <c r="N75" s="165"/>
      <c r="O75" s="166"/>
      <c r="P75" s="167"/>
      <c r="Q75" s="168"/>
      <c r="U75" s="114"/>
    </row>
    <row r="76" spans="2:21" x14ac:dyDescent="0.3">
      <c r="B76" s="113" t="s">
        <v>146</v>
      </c>
      <c r="C76" s="113" t="s">
        <v>161</v>
      </c>
      <c r="D76" s="113" t="s">
        <v>53</v>
      </c>
      <c r="E76" s="113">
        <v>2015</v>
      </c>
      <c r="F76" s="113">
        <v>4</v>
      </c>
      <c r="G76" s="116">
        <v>37.060899599999999</v>
      </c>
      <c r="H76" s="166"/>
      <c r="I76" s="165"/>
      <c r="J76" s="166"/>
      <c r="K76" s="167"/>
      <c r="L76" s="116">
        <v>49.736749499999995</v>
      </c>
      <c r="M76" s="166"/>
      <c r="N76" s="165"/>
      <c r="O76" s="166"/>
      <c r="P76" s="167"/>
      <c r="Q76" s="168"/>
      <c r="U76" s="114"/>
    </row>
    <row r="77" spans="2:21" x14ac:dyDescent="0.3">
      <c r="B77" s="113" t="s">
        <v>146</v>
      </c>
      <c r="C77" s="113" t="s">
        <v>161</v>
      </c>
      <c r="D77" s="113" t="s">
        <v>135</v>
      </c>
      <c r="E77" s="113">
        <v>2015</v>
      </c>
      <c r="F77" s="113">
        <v>5</v>
      </c>
      <c r="G77" s="116">
        <v>49.458224000000001</v>
      </c>
      <c r="H77" s="166">
        <f>AVERAGE(G77:G88)</f>
        <v>48.474766741666656</v>
      </c>
      <c r="I77" s="165">
        <v>0</v>
      </c>
      <c r="J77" s="166">
        <f>IF(H77-I77&lt;0,0,H77-I77)</f>
        <v>48.474766741666656</v>
      </c>
      <c r="K77" s="167">
        <f>AVERAGE(G77:G88)/MAX(G77:G88)</f>
        <v>0.7165392867279915</v>
      </c>
      <c r="L77" s="116">
        <v>62.826556400000001</v>
      </c>
      <c r="M77" s="166">
        <f>AVERAGE(L77:L88)</f>
        <v>58.587975525000012</v>
      </c>
      <c r="N77" s="165">
        <f>140*0.81</f>
        <v>113.4</v>
      </c>
      <c r="O77" s="166">
        <f>IF(N77-M77&gt;0,N77-M77,0)</f>
        <v>54.812024474999994</v>
      </c>
      <c r="P77" s="167" t="e">
        <f>AVERAGE(#REF!)/MAX(#REF!)</f>
        <v>#REF!</v>
      </c>
      <c r="Q77" s="168">
        <f>IF(J77-O77&lt;0,0,J77-O77)</f>
        <v>0</v>
      </c>
      <c r="U77" s="114"/>
    </row>
    <row r="78" spans="2:21" x14ac:dyDescent="0.3">
      <c r="B78" s="113" t="s">
        <v>146</v>
      </c>
      <c r="C78" s="113" t="s">
        <v>161</v>
      </c>
      <c r="D78" s="113" t="s">
        <v>135</v>
      </c>
      <c r="E78" s="113">
        <v>2015</v>
      </c>
      <c r="F78" s="113">
        <v>6</v>
      </c>
      <c r="G78" s="116">
        <v>48.776589999999999</v>
      </c>
      <c r="H78" s="166"/>
      <c r="I78" s="165"/>
      <c r="J78" s="166"/>
      <c r="K78" s="167"/>
      <c r="L78" s="116">
        <v>59.8768818</v>
      </c>
      <c r="M78" s="166"/>
      <c r="N78" s="165"/>
      <c r="O78" s="166"/>
      <c r="P78" s="167"/>
      <c r="Q78" s="168"/>
      <c r="U78" s="114"/>
    </row>
    <row r="79" spans="2:21" x14ac:dyDescent="0.3">
      <c r="B79" s="113" t="s">
        <v>146</v>
      </c>
      <c r="C79" s="113" t="s">
        <v>161</v>
      </c>
      <c r="D79" s="113" t="s">
        <v>135</v>
      </c>
      <c r="E79" s="113">
        <v>2015</v>
      </c>
      <c r="F79" s="113">
        <v>7</v>
      </c>
      <c r="G79" s="117">
        <v>61.521329299999998</v>
      </c>
      <c r="H79" s="166"/>
      <c r="I79" s="165"/>
      <c r="J79" s="166"/>
      <c r="K79" s="167"/>
      <c r="L79" s="116">
        <v>72.072657100000001</v>
      </c>
      <c r="M79" s="166"/>
      <c r="N79" s="165"/>
      <c r="O79" s="166"/>
      <c r="P79" s="167"/>
      <c r="Q79" s="168"/>
      <c r="U79" s="114"/>
    </row>
    <row r="80" spans="2:21" x14ac:dyDescent="0.3">
      <c r="B80" s="113" t="s">
        <v>146</v>
      </c>
      <c r="C80" s="113" t="s">
        <v>161</v>
      </c>
      <c r="D80" s="113" t="s">
        <v>135</v>
      </c>
      <c r="E80" s="113">
        <v>2015</v>
      </c>
      <c r="F80" s="112">
        <v>8</v>
      </c>
      <c r="G80" s="105">
        <v>60.7501654</v>
      </c>
      <c r="H80" s="169"/>
      <c r="I80" s="165"/>
      <c r="J80" s="166"/>
      <c r="K80" s="167"/>
      <c r="L80" s="115">
        <v>72.236701799999992</v>
      </c>
      <c r="M80" s="166"/>
      <c r="N80" s="165"/>
      <c r="O80" s="166"/>
      <c r="P80" s="167"/>
      <c r="Q80" s="168"/>
      <c r="U80" s="114"/>
    </row>
    <row r="81" spans="2:21" x14ac:dyDescent="0.3">
      <c r="B81" s="113" t="s">
        <v>146</v>
      </c>
      <c r="C81" s="113" t="s">
        <v>161</v>
      </c>
      <c r="D81" s="113" t="s">
        <v>135</v>
      </c>
      <c r="E81" s="113">
        <v>2015</v>
      </c>
      <c r="F81" s="112">
        <v>9</v>
      </c>
      <c r="G81" s="105">
        <v>67.651233699999992</v>
      </c>
      <c r="H81" s="169"/>
      <c r="I81" s="165"/>
      <c r="J81" s="166"/>
      <c r="K81" s="171"/>
      <c r="L81" s="104">
        <v>71.481164199999995</v>
      </c>
      <c r="M81" s="169"/>
      <c r="N81" s="165"/>
      <c r="O81" s="166"/>
      <c r="P81" s="167"/>
      <c r="Q81" s="168"/>
      <c r="U81" s="114"/>
    </row>
    <row r="82" spans="2:21" x14ac:dyDescent="0.3">
      <c r="B82" s="113" t="s">
        <v>146</v>
      </c>
      <c r="C82" s="113" t="s">
        <v>161</v>
      </c>
      <c r="D82" s="113" t="s">
        <v>135</v>
      </c>
      <c r="E82" s="113">
        <v>2015</v>
      </c>
      <c r="F82" s="112">
        <v>10</v>
      </c>
      <c r="G82" s="105">
        <v>40.434692800000001</v>
      </c>
      <c r="H82" s="169"/>
      <c r="I82" s="165"/>
      <c r="J82" s="166"/>
      <c r="K82" s="171"/>
      <c r="L82" s="104">
        <v>47.216667299999997</v>
      </c>
      <c r="M82" s="169"/>
      <c r="N82" s="165"/>
      <c r="O82" s="166"/>
      <c r="P82" s="167"/>
      <c r="Q82" s="168"/>
      <c r="U82" s="114"/>
    </row>
    <row r="83" spans="2:21" x14ac:dyDescent="0.3">
      <c r="B83" s="113" t="s">
        <v>146</v>
      </c>
      <c r="C83" s="113" t="s">
        <v>161</v>
      </c>
      <c r="D83" s="113" t="s">
        <v>135</v>
      </c>
      <c r="E83" s="113">
        <v>2015</v>
      </c>
      <c r="F83" s="112">
        <v>11</v>
      </c>
      <c r="G83" s="105">
        <v>40.5436081</v>
      </c>
      <c r="H83" s="169"/>
      <c r="I83" s="165"/>
      <c r="J83" s="166"/>
      <c r="K83" s="171"/>
      <c r="L83" s="104">
        <v>53.257098400000004</v>
      </c>
      <c r="M83" s="169"/>
      <c r="N83" s="165"/>
      <c r="O83" s="166"/>
      <c r="P83" s="167"/>
      <c r="Q83" s="168"/>
      <c r="U83" s="114"/>
    </row>
    <row r="84" spans="2:21" x14ac:dyDescent="0.3">
      <c r="B84" s="113" t="s">
        <v>146</v>
      </c>
      <c r="C84" s="113" t="s">
        <v>161</v>
      </c>
      <c r="D84" s="113" t="s">
        <v>135</v>
      </c>
      <c r="E84" s="113">
        <v>2015</v>
      </c>
      <c r="F84" s="112">
        <v>12</v>
      </c>
      <c r="G84" s="105">
        <v>40.945674599999997</v>
      </c>
      <c r="H84" s="169"/>
      <c r="I84" s="165"/>
      <c r="J84" s="166"/>
      <c r="K84" s="171"/>
      <c r="L84" s="104">
        <v>52.931488999999999</v>
      </c>
      <c r="M84" s="169"/>
      <c r="N84" s="165"/>
      <c r="O84" s="166"/>
      <c r="P84" s="167"/>
      <c r="Q84" s="168"/>
      <c r="U84" s="114"/>
    </row>
    <row r="85" spans="2:21" x14ac:dyDescent="0.3">
      <c r="B85" s="113" t="s">
        <v>146</v>
      </c>
      <c r="C85" s="113" t="s">
        <v>161</v>
      </c>
      <c r="D85" s="113" t="s">
        <v>135</v>
      </c>
      <c r="E85" s="113">
        <v>2016</v>
      </c>
      <c r="F85" s="112">
        <v>1</v>
      </c>
      <c r="G85" s="105">
        <v>42.418731000000001</v>
      </c>
      <c r="H85" s="169"/>
      <c r="I85" s="165"/>
      <c r="J85" s="166"/>
      <c r="K85" s="171"/>
      <c r="L85" s="104">
        <v>56.658598599999998</v>
      </c>
      <c r="M85" s="169"/>
      <c r="N85" s="165"/>
      <c r="O85" s="166"/>
      <c r="P85" s="167"/>
      <c r="Q85" s="168"/>
      <c r="U85" s="114"/>
    </row>
    <row r="86" spans="2:21" x14ac:dyDescent="0.3">
      <c r="B86" s="113" t="s">
        <v>146</v>
      </c>
      <c r="C86" s="113" t="s">
        <v>161</v>
      </c>
      <c r="D86" s="113" t="s">
        <v>135</v>
      </c>
      <c r="E86" s="113">
        <v>2016</v>
      </c>
      <c r="F86" s="112">
        <v>2</v>
      </c>
      <c r="G86" s="105">
        <v>47.6197874</v>
      </c>
      <c r="H86" s="169"/>
      <c r="I86" s="165"/>
      <c r="J86" s="166"/>
      <c r="K86" s="171"/>
      <c r="L86" s="104">
        <v>54.044935299999999</v>
      </c>
      <c r="M86" s="169"/>
      <c r="N86" s="165"/>
      <c r="O86" s="166"/>
      <c r="P86" s="167"/>
      <c r="Q86" s="168"/>
      <c r="U86" s="114"/>
    </row>
    <row r="87" spans="2:21" x14ac:dyDescent="0.3">
      <c r="B87" s="113" t="s">
        <v>146</v>
      </c>
      <c r="C87" s="113" t="s">
        <v>161</v>
      </c>
      <c r="D87" s="113" t="s">
        <v>135</v>
      </c>
      <c r="E87" s="113">
        <v>2016</v>
      </c>
      <c r="F87" s="112">
        <v>3</v>
      </c>
      <c r="G87" s="105">
        <v>45.408250200000005</v>
      </c>
      <c r="H87" s="169"/>
      <c r="I87" s="165"/>
      <c r="J87" s="166"/>
      <c r="K87" s="171"/>
      <c r="L87" s="104">
        <v>49.185253199999998</v>
      </c>
      <c r="M87" s="169"/>
      <c r="N87" s="165"/>
      <c r="O87" s="166"/>
      <c r="P87" s="167"/>
      <c r="Q87" s="168"/>
      <c r="U87" s="114"/>
    </row>
    <row r="88" spans="2:21" x14ac:dyDescent="0.3">
      <c r="B88" s="113" t="s">
        <v>146</v>
      </c>
      <c r="C88" s="113" t="s">
        <v>161</v>
      </c>
      <c r="D88" s="113" t="s">
        <v>135</v>
      </c>
      <c r="E88" s="113">
        <v>2016</v>
      </c>
      <c r="F88" s="112">
        <v>4</v>
      </c>
      <c r="G88" s="105">
        <v>36.168914399999998</v>
      </c>
      <c r="H88" s="169"/>
      <c r="I88" s="165"/>
      <c r="J88" s="166"/>
      <c r="K88" s="171"/>
      <c r="L88" s="104">
        <v>51.267703200000007</v>
      </c>
      <c r="M88" s="169"/>
      <c r="N88" s="165"/>
      <c r="O88" s="166"/>
      <c r="P88" s="167"/>
      <c r="Q88" s="168"/>
      <c r="U88" s="114"/>
    </row>
    <row r="89" spans="2:21" x14ac:dyDescent="0.3">
      <c r="B89" s="113" t="s">
        <v>146</v>
      </c>
      <c r="C89" s="113" t="s">
        <v>161</v>
      </c>
      <c r="D89" s="113" t="s">
        <v>136</v>
      </c>
      <c r="E89" s="113">
        <v>2016</v>
      </c>
      <c r="F89" s="112">
        <v>5</v>
      </c>
      <c r="G89" s="105">
        <v>49.557401499999997</v>
      </c>
      <c r="H89" s="169">
        <f>AVERAGE(G89:G100)</f>
        <v>46.256654250000004</v>
      </c>
      <c r="I89" s="165">
        <v>0</v>
      </c>
      <c r="J89" s="166">
        <f>IF(H89-I89&lt;0,0,H89-I89)</f>
        <v>46.256654250000004</v>
      </c>
      <c r="K89" s="171">
        <f>AVERAGE(G89:G100)/MAX(G89:G100)</f>
        <v>0.75439256045201675</v>
      </c>
      <c r="L89" s="104">
        <v>61.5832446</v>
      </c>
      <c r="M89" s="169">
        <f>AVERAGE(L89:L100)</f>
        <v>61.735342074999998</v>
      </c>
      <c r="N89" s="165">
        <f>140*0.81</f>
        <v>113.4</v>
      </c>
      <c r="O89" s="166">
        <f>IF(N89-M89&gt;0,N89-M89,0)</f>
        <v>51.664657925000007</v>
      </c>
      <c r="P89" s="167" t="e">
        <f>AVERAGE(#REF!)/MAX(#REF!)</f>
        <v>#REF!</v>
      </c>
      <c r="Q89" s="168">
        <f>IF(J89-O89&lt;0,0,J89-O89)</f>
        <v>0</v>
      </c>
      <c r="U89" s="114"/>
    </row>
    <row r="90" spans="2:21" x14ac:dyDescent="0.3">
      <c r="B90" s="113" t="s">
        <v>146</v>
      </c>
      <c r="C90" s="113" t="s">
        <v>161</v>
      </c>
      <c r="D90" s="113" t="s">
        <v>136</v>
      </c>
      <c r="E90" s="113">
        <v>2016</v>
      </c>
      <c r="F90" s="112">
        <v>6</v>
      </c>
      <c r="G90" s="105">
        <v>58.267613699999998</v>
      </c>
      <c r="H90" s="169"/>
      <c r="I90" s="165"/>
      <c r="J90" s="166"/>
      <c r="K90" s="171"/>
      <c r="L90" s="104">
        <v>73.225781499999997</v>
      </c>
      <c r="M90" s="169"/>
      <c r="N90" s="165"/>
      <c r="O90" s="166"/>
      <c r="P90" s="167"/>
      <c r="Q90" s="168"/>
      <c r="U90" s="114"/>
    </row>
    <row r="91" spans="2:21" x14ac:dyDescent="0.3">
      <c r="B91" s="113" t="s">
        <v>146</v>
      </c>
      <c r="C91" s="113" t="s">
        <v>161</v>
      </c>
      <c r="D91" s="113" t="s">
        <v>136</v>
      </c>
      <c r="E91" s="113">
        <v>2016</v>
      </c>
      <c r="F91" s="112">
        <v>7</v>
      </c>
      <c r="G91" s="105">
        <v>59.690456100000006</v>
      </c>
      <c r="H91" s="169"/>
      <c r="I91" s="165"/>
      <c r="J91" s="166"/>
      <c r="K91" s="171"/>
      <c r="L91" s="104">
        <v>73.091162800000006</v>
      </c>
      <c r="M91" s="169"/>
      <c r="N91" s="165"/>
      <c r="O91" s="166"/>
      <c r="P91" s="167"/>
      <c r="Q91" s="168"/>
      <c r="U91" s="114"/>
    </row>
    <row r="92" spans="2:21" x14ac:dyDescent="0.3">
      <c r="B92" s="113" t="s">
        <v>146</v>
      </c>
      <c r="C92" s="113" t="s">
        <v>161</v>
      </c>
      <c r="D92" s="113" t="s">
        <v>136</v>
      </c>
      <c r="E92" s="113">
        <v>2016</v>
      </c>
      <c r="F92" s="112">
        <v>8</v>
      </c>
      <c r="G92" s="105">
        <v>61.3164242</v>
      </c>
      <c r="H92" s="169"/>
      <c r="I92" s="165"/>
      <c r="J92" s="166"/>
      <c r="K92" s="171"/>
      <c r="L92" s="104">
        <v>74.698687399999997</v>
      </c>
      <c r="M92" s="169"/>
      <c r="N92" s="165"/>
      <c r="O92" s="166"/>
      <c r="P92" s="167"/>
      <c r="Q92" s="168"/>
      <c r="U92" s="114"/>
    </row>
    <row r="93" spans="2:21" x14ac:dyDescent="0.3">
      <c r="B93" s="113" t="s">
        <v>146</v>
      </c>
      <c r="C93" s="113" t="s">
        <v>161</v>
      </c>
      <c r="D93" s="113" t="s">
        <v>136</v>
      </c>
      <c r="E93" s="113">
        <v>2016</v>
      </c>
      <c r="F93" s="112">
        <v>9</v>
      </c>
      <c r="G93" s="105">
        <v>58.0852845</v>
      </c>
      <c r="H93" s="169"/>
      <c r="I93" s="165"/>
      <c r="J93" s="166"/>
      <c r="K93" s="171"/>
      <c r="L93" s="104">
        <v>79.048709900000006</v>
      </c>
      <c r="M93" s="169"/>
      <c r="N93" s="165"/>
      <c r="O93" s="166"/>
      <c r="P93" s="167"/>
      <c r="Q93" s="168"/>
      <c r="U93" s="114"/>
    </row>
    <row r="94" spans="2:21" x14ac:dyDescent="0.3">
      <c r="B94" s="113" t="s">
        <v>146</v>
      </c>
      <c r="C94" s="113" t="s">
        <v>161</v>
      </c>
      <c r="D94" s="113" t="s">
        <v>136</v>
      </c>
      <c r="E94" s="113">
        <v>2016</v>
      </c>
      <c r="F94" s="112">
        <v>10</v>
      </c>
      <c r="G94" s="105">
        <v>35.897683200000003</v>
      </c>
      <c r="H94" s="169"/>
      <c r="I94" s="165"/>
      <c r="J94" s="166"/>
      <c r="K94" s="171"/>
      <c r="L94" s="104">
        <v>51.121857499999997</v>
      </c>
      <c r="M94" s="169"/>
      <c r="N94" s="165"/>
      <c r="O94" s="166"/>
      <c r="P94" s="167"/>
      <c r="Q94" s="168"/>
      <c r="U94" s="114"/>
    </row>
    <row r="95" spans="2:21" x14ac:dyDescent="0.3">
      <c r="B95" s="113" t="s">
        <v>146</v>
      </c>
      <c r="C95" s="113" t="s">
        <v>161</v>
      </c>
      <c r="D95" s="113" t="s">
        <v>136</v>
      </c>
      <c r="E95" s="113">
        <v>2016</v>
      </c>
      <c r="F95" s="112">
        <v>11</v>
      </c>
      <c r="G95" s="105">
        <v>39.465385600000005</v>
      </c>
      <c r="H95" s="169"/>
      <c r="I95" s="165"/>
      <c r="J95" s="166"/>
      <c r="K95" s="171"/>
      <c r="L95" s="104">
        <v>54.245480999999998</v>
      </c>
      <c r="M95" s="169"/>
      <c r="N95" s="165"/>
      <c r="O95" s="166"/>
      <c r="P95" s="167"/>
      <c r="Q95" s="168"/>
      <c r="U95" s="114"/>
    </row>
    <row r="96" spans="2:21" x14ac:dyDescent="0.3">
      <c r="B96" s="113" t="s">
        <v>146</v>
      </c>
      <c r="C96" s="113" t="s">
        <v>161</v>
      </c>
      <c r="D96" s="113" t="s">
        <v>136</v>
      </c>
      <c r="E96" s="113">
        <v>2016</v>
      </c>
      <c r="F96" s="112">
        <v>12</v>
      </c>
      <c r="G96" s="105">
        <v>42.676023499999999</v>
      </c>
      <c r="H96" s="169"/>
      <c r="I96" s="165"/>
      <c r="J96" s="166"/>
      <c r="K96" s="171"/>
      <c r="L96" s="104">
        <v>56.949622000000005</v>
      </c>
      <c r="M96" s="169"/>
      <c r="N96" s="165"/>
      <c r="O96" s="166"/>
      <c r="P96" s="167"/>
      <c r="Q96" s="168"/>
      <c r="U96" s="114"/>
    </row>
    <row r="97" spans="2:21" x14ac:dyDescent="0.3">
      <c r="B97" s="113" t="s">
        <v>146</v>
      </c>
      <c r="C97" s="113" t="s">
        <v>161</v>
      </c>
      <c r="D97" s="113" t="s">
        <v>136</v>
      </c>
      <c r="E97" s="113">
        <v>2017</v>
      </c>
      <c r="F97" s="112">
        <v>1</v>
      </c>
      <c r="G97" s="105">
        <v>42.4752832</v>
      </c>
      <c r="H97" s="169"/>
      <c r="I97" s="165"/>
      <c r="J97" s="166"/>
      <c r="K97" s="171"/>
      <c r="L97" s="104">
        <v>55.9091971</v>
      </c>
      <c r="M97" s="169"/>
      <c r="N97" s="165"/>
      <c r="O97" s="166"/>
      <c r="P97" s="167"/>
      <c r="Q97" s="168"/>
      <c r="U97" s="114"/>
    </row>
    <row r="98" spans="2:21" x14ac:dyDescent="0.3">
      <c r="B98" s="113" t="s">
        <v>146</v>
      </c>
      <c r="C98" s="113" t="s">
        <v>161</v>
      </c>
      <c r="D98" s="113" t="s">
        <v>136</v>
      </c>
      <c r="E98" s="113">
        <v>2017</v>
      </c>
      <c r="F98" s="112">
        <v>2</v>
      </c>
      <c r="G98" s="105">
        <v>38.231709699999996</v>
      </c>
      <c r="H98" s="169"/>
      <c r="I98" s="165"/>
      <c r="J98" s="166"/>
      <c r="K98" s="171"/>
      <c r="L98" s="104">
        <v>53.478525199999993</v>
      </c>
      <c r="M98" s="169"/>
      <c r="N98" s="165"/>
      <c r="O98" s="166"/>
      <c r="P98" s="167"/>
      <c r="Q98" s="168"/>
      <c r="U98" s="114"/>
    </row>
    <row r="99" spans="2:21" x14ac:dyDescent="0.3">
      <c r="B99" s="113" t="s">
        <v>146</v>
      </c>
      <c r="C99" s="113" t="s">
        <v>161</v>
      </c>
      <c r="D99" s="113" t="s">
        <v>136</v>
      </c>
      <c r="E99" s="113">
        <v>2017</v>
      </c>
      <c r="F99" s="112">
        <v>3</v>
      </c>
      <c r="G99" s="105">
        <v>36.750972600000004</v>
      </c>
      <c r="H99" s="169"/>
      <c r="I99" s="165"/>
      <c r="J99" s="166"/>
      <c r="K99" s="171"/>
      <c r="L99" s="104">
        <v>56.0499121</v>
      </c>
      <c r="M99" s="169"/>
      <c r="N99" s="165"/>
      <c r="O99" s="166"/>
      <c r="P99" s="167"/>
      <c r="Q99" s="168"/>
      <c r="U99" s="114"/>
    </row>
    <row r="100" spans="2:21" x14ac:dyDescent="0.3">
      <c r="B100" s="113" t="s">
        <v>146</v>
      </c>
      <c r="C100" s="113" t="s">
        <v>161</v>
      </c>
      <c r="D100" s="113" t="s">
        <v>136</v>
      </c>
      <c r="E100" s="113">
        <v>2017</v>
      </c>
      <c r="F100" s="112">
        <v>4</v>
      </c>
      <c r="G100" s="105">
        <v>32.665613200000003</v>
      </c>
      <c r="H100" s="169"/>
      <c r="I100" s="165"/>
      <c r="J100" s="166"/>
      <c r="K100" s="171"/>
      <c r="L100" s="104">
        <v>51.421923799999995</v>
      </c>
      <c r="M100" s="169"/>
      <c r="N100" s="165"/>
      <c r="O100" s="166"/>
      <c r="P100" s="167"/>
      <c r="Q100" s="168"/>
      <c r="U100" s="114"/>
    </row>
    <row r="101" spans="2:21" x14ac:dyDescent="0.3">
      <c r="B101" s="113" t="s">
        <v>146</v>
      </c>
      <c r="C101" s="113" t="s">
        <v>161</v>
      </c>
      <c r="D101" s="113" t="s">
        <v>137</v>
      </c>
      <c r="E101" s="113">
        <v>2017</v>
      </c>
      <c r="F101" s="112">
        <v>5</v>
      </c>
      <c r="G101" s="105">
        <v>41.035697599999999</v>
      </c>
      <c r="H101" s="169">
        <f>AVERAGE(G101:G112)</f>
        <v>42.911313966666661</v>
      </c>
      <c r="I101" s="165">
        <v>0</v>
      </c>
      <c r="J101" s="166">
        <f>IF(H101-I101&lt;0,0,H101-I101)</f>
        <v>42.911313966666661</v>
      </c>
      <c r="K101" s="171">
        <f>AVERAGE(G101:G112)/MAX(G101:G112)</f>
        <v>0.74174584392558951</v>
      </c>
      <c r="L101" s="104">
        <v>58.278750600000002</v>
      </c>
      <c r="M101" s="169">
        <f>AVERAGE(L101:L112)</f>
        <v>61.04171679166668</v>
      </c>
      <c r="N101" s="165">
        <f>140*0.81</f>
        <v>113.4</v>
      </c>
      <c r="O101" s="166">
        <f>IF(N101-M101&gt;0,N101-M101,0)</f>
        <v>52.358283208333326</v>
      </c>
      <c r="P101" s="167" t="e">
        <f>AVERAGE(#REF!)/MAX(#REF!)</f>
        <v>#REF!</v>
      </c>
      <c r="Q101" s="168">
        <f>IF(J101-O101&lt;0,0,J101-O101)</f>
        <v>0</v>
      </c>
      <c r="U101" s="114"/>
    </row>
    <row r="102" spans="2:21" x14ac:dyDescent="0.3">
      <c r="B102" s="113" t="s">
        <v>146</v>
      </c>
      <c r="C102" s="113" t="s">
        <v>161</v>
      </c>
      <c r="D102" s="113" t="s">
        <v>137</v>
      </c>
      <c r="E102" s="113">
        <v>2017</v>
      </c>
      <c r="F102" s="112">
        <v>6</v>
      </c>
      <c r="G102" s="105">
        <v>57.851775400000001</v>
      </c>
      <c r="H102" s="169"/>
      <c r="I102" s="165"/>
      <c r="J102" s="166"/>
      <c r="K102" s="171"/>
      <c r="L102" s="104">
        <v>63.703400699999996</v>
      </c>
      <c r="M102" s="169"/>
      <c r="N102" s="165"/>
      <c r="O102" s="166"/>
      <c r="P102" s="167"/>
      <c r="Q102" s="168"/>
      <c r="U102" s="114"/>
    </row>
    <row r="103" spans="2:21" x14ac:dyDescent="0.3">
      <c r="B103" s="113" t="s">
        <v>146</v>
      </c>
      <c r="C103" s="113" t="s">
        <v>161</v>
      </c>
      <c r="D103" s="113" t="s">
        <v>137</v>
      </c>
      <c r="E103" s="113">
        <v>2017</v>
      </c>
      <c r="F103" s="112">
        <v>7</v>
      </c>
      <c r="G103" s="105">
        <v>50.180341399999996</v>
      </c>
      <c r="H103" s="169"/>
      <c r="I103" s="165"/>
      <c r="J103" s="166"/>
      <c r="K103" s="171"/>
      <c r="L103" s="104">
        <v>70.266343399999997</v>
      </c>
      <c r="M103" s="169"/>
      <c r="N103" s="165"/>
      <c r="O103" s="166"/>
      <c r="P103" s="167"/>
      <c r="Q103" s="168"/>
      <c r="U103" s="114"/>
    </row>
    <row r="104" spans="2:21" x14ac:dyDescent="0.3">
      <c r="B104" s="113" t="s">
        <v>146</v>
      </c>
      <c r="C104" s="113" t="s">
        <v>161</v>
      </c>
      <c r="D104" s="113" t="s">
        <v>137</v>
      </c>
      <c r="E104" s="113">
        <v>2017</v>
      </c>
      <c r="F104" s="112">
        <v>8</v>
      </c>
      <c r="G104" s="105">
        <v>47.543630499999999</v>
      </c>
      <c r="H104" s="169"/>
      <c r="I104" s="165"/>
      <c r="J104" s="166"/>
      <c r="K104" s="171"/>
      <c r="L104" s="104">
        <v>70.377442299999998</v>
      </c>
      <c r="M104" s="169"/>
      <c r="N104" s="165"/>
      <c r="O104" s="166"/>
      <c r="P104" s="167"/>
      <c r="Q104" s="168"/>
      <c r="U104" s="114"/>
    </row>
    <row r="105" spans="2:21" x14ac:dyDescent="0.3">
      <c r="B105" s="113" t="s">
        <v>146</v>
      </c>
      <c r="C105" s="113" t="s">
        <v>161</v>
      </c>
      <c r="D105" s="113" t="s">
        <v>137</v>
      </c>
      <c r="E105" s="113">
        <v>2017</v>
      </c>
      <c r="F105" s="112">
        <v>9</v>
      </c>
      <c r="G105" s="105">
        <v>52.981566400000006</v>
      </c>
      <c r="H105" s="169"/>
      <c r="I105" s="165"/>
      <c r="J105" s="166"/>
      <c r="K105" s="171"/>
      <c r="L105" s="104">
        <v>75.692084499999993</v>
      </c>
      <c r="M105" s="169"/>
      <c r="N105" s="165"/>
      <c r="O105" s="166"/>
      <c r="P105" s="167"/>
      <c r="Q105" s="168"/>
      <c r="U105" s="114"/>
    </row>
    <row r="106" spans="2:21" x14ac:dyDescent="0.3">
      <c r="B106" s="113" t="s">
        <v>146</v>
      </c>
      <c r="C106" s="113" t="s">
        <v>161</v>
      </c>
      <c r="D106" s="113" t="s">
        <v>137</v>
      </c>
      <c r="E106" s="113">
        <v>2017</v>
      </c>
      <c r="F106" s="112">
        <v>10</v>
      </c>
      <c r="G106" s="105">
        <v>32.096106900000002</v>
      </c>
      <c r="H106" s="169"/>
      <c r="I106" s="165"/>
      <c r="J106" s="166"/>
      <c r="K106" s="171"/>
      <c r="L106" s="104">
        <v>53.062988500000003</v>
      </c>
      <c r="M106" s="169"/>
      <c r="N106" s="165"/>
      <c r="O106" s="166"/>
      <c r="P106" s="167"/>
      <c r="Q106" s="168"/>
      <c r="U106" s="114"/>
    </row>
    <row r="107" spans="2:21" x14ac:dyDescent="0.3">
      <c r="B107" s="113" t="s">
        <v>146</v>
      </c>
      <c r="C107" s="113" t="s">
        <v>161</v>
      </c>
      <c r="D107" s="113" t="s">
        <v>137</v>
      </c>
      <c r="E107" s="113">
        <v>2017</v>
      </c>
      <c r="F107" s="112">
        <v>11</v>
      </c>
      <c r="G107" s="105">
        <v>37.983279699999997</v>
      </c>
      <c r="H107" s="169"/>
      <c r="I107" s="165"/>
      <c r="J107" s="166"/>
      <c r="K107" s="171"/>
      <c r="L107" s="104">
        <v>55.1898646</v>
      </c>
      <c r="M107" s="169"/>
      <c r="N107" s="165"/>
      <c r="O107" s="166"/>
      <c r="P107" s="167"/>
      <c r="Q107" s="168"/>
      <c r="U107" s="114"/>
    </row>
    <row r="108" spans="2:21" x14ac:dyDescent="0.3">
      <c r="B108" s="113" t="s">
        <v>146</v>
      </c>
      <c r="C108" s="113" t="s">
        <v>161</v>
      </c>
      <c r="D108" s="113" t="s">
        <v>137</v>
      </c>
      <c r="E108" s="113">
        <v>2017</v>
      </c>
      <c r="F108" s="112">
        <v>12</v>
      </c>
      <c r="G108" s="105">
        <v>43.312771099999999</v>
      </c>
      <c r="H108" s="169"/>
      <c r="I108" s="165"/>
      <c r="J108" s="166"/>
      <c r="K108" s="171"/>
      <c r="L108" s="104">
        <v>54.919550900000004</v>
      </c>
      <c r="M108" s="169"/>
      <c r="N108" s="165"/>
      <c r="O108" s="166"/>
      <c r="P108" s="167"/>
      <c r="Q108" s="168"/>
      <c r="U108" s="114"/>
    </row>
    <row r="109" spans="2:21" x14ac:dyDescent="0.3">
      <c r="B109" s="113" t="s">
        <v>146</v>
      </c>
      <c r="C109" s="113" t="s">
        <v>161</v>
      </c>
      <c r="D109" s="113" t="s">
        <v>137</v>
      </c>
      <c r="E109" s="113">
        <v>2018</v>
      </c>
      <c r="F109" s="112">
        <v>1</v>
      </c>
      <c r="G109" s="105">
        <v>45.892377400000001</v>
      </c>
      <c r="H109" s="169"/>
      <c r="I109" s="165"/>
      <c r="J109" s="166"/>
      <c r="K109" s="171"/>
      <c r="L109" s="104">
        <v>67.698227499999987</v>
      </c>
      <c r="M109" s="169"/>
      <c r="N109" s="165"/>
      <c r="O109" s="166"/>
      <c r="P109" s="167"/>
      <c r="Q109" s="168"/>
      <c r="U109" s="114"/>
    </row>
    <row r="110" spans="2:21" x14ac:dyDescent="0.3">
      <c r="B110" s="113" t="s">
        <v>146</v>
      </c>
      <c r="C110" s="113" t="s">
        <v>161</v>
      </c>
      <c r="D110" s="113" t="s">
        <v>137</v>
      </c>
      <c r="E110" s="113">
        <v>2018</v>
      </c>
      <c r="F110" s="112">
        <v>2</v>
      </c>
      <c r="G110" s="105">
        <v>37.229968800000002</v>
      </c>
      <c r="H110" s="169"/>
      <c r="I110" s="165"/>
      <c r="J110" s="166"/>
      <c r="K110" s="171"/>
      <c r="L110" s="104">
        <v>56.900511100000003</v>
      </c>
      <c r="M110" s="169"/>
      <c r="N110" s="165"/>
      <c r="O110" s="166"/>
      <c r="P110" s="167"/>
      <c r="Q110" s="168"/>
      <c r="U110" s="114"/>
    </row>
    <row r="111" spans="2:21" x14ac:dyDescent="0.3">
      <c r="B111" s="113" t="s">
        <v>146</v>
      </c>
      <c r="C111" s="113" t="s">
        <v>161</v>
      </c>
      <c r="D111" s="113" t="s">
        <v>137</v>
      </c>
      <c r="E111" s="113">
        <v>2018</v>
      </c>
      <c r="F111" s="112">
        <v>3</v>
      </c>
      <c r="G111" s="105">
        <v>34.413392299999998</v>
      </c>
      <c r="H111" s="169"/>
      <c r="I111" s="165"/>
      <c r="J111" s="166"/>
      <c r="K111" s="171"/>
      <c r="L111" s="104">
        <v>53.361933299999997</v>
      </c>
      <c r="M111" s="169"/>
      <c r="N111" s="165"/>
      <c r="O111" s="166"/>
      <c r="P111" s="167"/>
      <c r="Q111" s="168"/>
      <c r="U111" s="114"/>
    </row>
    <row r="112" spans="2:21" x14ac:dyDescent="0.3">
      <c r="B112" s="113" t="s">
        <v>146</v>
      </c>
      <c r="C112" s="113" t="s">
        <v>161</v>
      </c>
      <c r="D112" s="113" t="s">
        <v>137</v>
      </c>
      <c r="E112" s="113">
        <v>2018</v>
      </c>
      <c r="F112" s="112">
        <v>4</v>
      </c>
      <c r="G112" s="105">
        <v>34.414860099999999</v>
      </c>
      <c r="H112" s="169"/>
      <c r="I112" s="165"/>
      <c r="J112" s="166"/>
      <c r="K112" s="171"/>
      <c r="L112" s="104">
        <v>53.0495041</v>
      </c>
      <c r="M112" s="169"/>
      <c r="N112" s="165"/>
      <c r="O112" s="166"/>
      <c r="P112" s="167"/>
      <c r="Q112" s="168"/>
      <c r="U112" s="114"/>
    </row>
    <row r="113" spans="1:17" x14ac:dyDescent="0.3">
      <c r="B113" s="113" t="s">
        <v>146</v>
      </c>
      <c r="C113" s="113" t="s">
        <v>161</v>
      </c>
      <c r="D113" s="113" t="s">
        <v>138</v>
      </c>
      <c r="E113" s="113">
        <v>2018</v>
      </c>
      <c r="F113" s="112">
        <v>5</v>
      </c>
      <c r="G113" s="105">
        <v>60.4021489</v>
      </c>
      <c r="H113" s="169">
        <f>AVERAGE(G113:G124)</f>
        <v>48.478300791666669</v>
      </c>
      <c r="I113" s="165">
        <v>0</v>
      </c>
      <c r="J113" s="166">
        <f>IF(H113-I113&lt;0,0,H113-I113)</f>
        <v>48.478300791666669</v>
      </c>
      <c r="K113" s="171">
        <f>AVERAGE(G113:G124)/MAX(G113:G124)</f>
        <v>0.76697229266051936</v>
      </c>
      <c r="L113" s="104">
        <v>71.5675825</v>
      </c>
      <c r="M113" s="169">
        <f>AVERAGE(L113:L124)</f>
        <v>64.885980208333336</v>
      </c>
      <c r="N113" s="165">
        <f>140*0.81</f>
        <v>113.4</v>
      </c>
      <c r="O113" s="166">
        <f>IF(N113-M113&gt;0,N113-M113,0)</f>
        <v>48.514019791666669</v>
      </c>
      <c r="P113" s="167" t="e">
        <f>AVERAGE(#REF!)/MAX(#REF!)</f>
        <v>#REF!</v>
      </c>
      <c r="Q113" s="168">
        <f>IF(J113-O113&lt;0,0,J113-O113)</f>
        <v>0</v>
      </c>
    </row>
    <row r="114" spans="1:17" x14ac:dyDescent="0.3">
      <c r="B114" s="113" t="s">
        <v>146</v>
      </c>
      <c r="C114" s="113" t="s">
        <v>161</v>
      </c>
      <c r="D114" s="113" t="s">
        <v>138</v>
      </c>
      <c r="E114" s="113">
        <v>2018</v>
      </c>
      <c r="F114" s="112">
        <v>6</v>
      </c>
      <c r="G114" s="105">
        <v>63.207369100000001</v>
      </c>
      <c r="H114" s="169"/>
      <c r="I114" s="165"/>
      <c r="J114" s="166"/>
      <c r="K114" s="171"/>
      <c r="L114" s="104">
        <v>74.596109599999991</v>
      </c>
      <c r="M114" s="169"/>
      <c r="N114" s="165"/>
      <c r="O114" s="166"/>
      <c r="P114" s="167"/>
      <c r="Q114" s="168"/>
    </row>
    <row r="115" spans="1:17" x14ac:dyDescent="0.3">
      <c r="B115" s="113" t="s">
        <v>146</v>
      </c>
      <c r="C115" s="113" t="s">
        <v>161</v>
      </c>
      <c r="D115" s="113" t="s">
        <v>138</v>
      </c>
      <c r="E115" s="113">
        <v>2018</v>
      </c>
      <c r="F115" s="112">
        <v>7</v>
      </c>
      <c r="G115" s="105">
        <v>53.393862999999996</v>
      </c>
      <c r="H115" s="169"/>
      <c r="I115" s="165"/>
      <c r="J115" s="166"/>
      <c r="K115" s="171"/>
      <c r="L115" s="104">
        <v>83.796638700000003</v>
      </c>
      <c r="M115" s="169"/>
      <c r="N115" s="165"/>
      <c r="O115" s="166"/>
      <c r="P115" s="167"/>
      <c r="Q115" s="168"/>
    </row>
    <row r="116" spans="1:17" x14ac:dyDescent="0.3">
      <c r="B116" s="113" t="s">
        <v>146</v>
      </c>
      <c r="C116" s="113" t="s">
        <v>161</v>
      </c>
      <c r="D116" s="113" t="s">
        <v>138</v>
      </c>
      <c r="E116" s="113">
        <v>2018</v>
      </c>
      <c r="F116" s="112">
        <v>8</v>
      </c>
      <c r="G116" s="105">
        <v>54.402509799999997</v>
      </c>
      <c r="H116" s="169"/>
      <c r="I116" s="165"/>
      <c r="J116" s="166"/>
      <c r="K116" s="171"/>
      <c r="L116" s="104">
        <v>88.115467099999989</v>
      </c>
      <c r="M116" s="169"/>
      <c r="N116" s="165"/>
      <c r="O116" s="166"/>
      <c r="P116" s="167"/>
      <c r="Q116" s="168"/>
    </row>
    <row r="117" spans="1:17" x14ac:dyDescent="0.3">
      <c r="B117" s="113" t="s">
        <v>146</v>
      </c>
      <c r="C117" s="113" t="s">
        <v>161</v>
      </c>
      <c r="D117" s="113" t="s">
        <v>138</v>
      </c>
      <c r="E117" s="113">
        <v>2018</v>
      </c>
      <c r="F117" s="112">
        <v>9</v>
      </c>
      <c r="G117" s="105">
        <v>61.9454596</v>
      </c>
      <c r="H117" s="169"/>
      <c r="I117" s="165"/>
      <c r="J117" s="166"/>
      <c r="K117" s="171"/>
      <c r="L117" s="104">
        <v>78.497177800000003</v>
      </c>
      <c r="M117" s="169"/>
      <c r="N117" s="165"/>
      <c r="O117" s="166"/>
      <c r="P117" s="167"/>
      <c r="Q117" s="168"/>
    </row>
    <row r="118" spans="1:17" x14ac:dyDescent="0.3">
      <c r="B118" s="113" t="s">
        <v>146</v>
      </c>
      <c r="C118" s="113" t="s">
        <v>161</v>
      </c>
      <c r="D118" s="113" t="s">
        <v>138</v>
      </c>
      <c r="E118" s="113">
        <v>2018</v>
      </c>
      <c r="F118" s="112">
        <v>10</v>
      </c>
      <c r="G118" s="105">
        <v>39.445247999999999</v>
      </c>
      <c r="H118" s="169"/>
      <c r="I118" s="165"/>
      <c r="J118" s="166"/>
      <c r="K118" s="171"/>
      <c r="L118" s="104">
        <v>55.356923199999997</v>
      </c>
      <c r="M118" s="169"/>
      <c r="N118" s="165"/>
      <c r="O118" s="166"/>
      <c r="P118" s="167"/>
      <c r="Q118" s="168"/>
    </row>
    <row r="119" spans="1:17" x14ac:dyDescent="0.3">
      <c r="B119" s="113" t="s">
        <v>146</v>
      </c>
      <c r="C119" s="113" t="s">
        <v>161</v>
      </c>
      <c r="D119" s="113" t="s">
        <v>138</v>
      </c>
      <c r="E119" s="113">
        <v>2018</v>
      </c>
      <c r="F119" s="112">
        <v>11</v>
      </c>
      <c r="G119" s="105">
        <v>48.749559599999998</v>
      </c>
      <c r="H119" s="169"/>
      <c r="I119" s="165"/>
      <c r="J119" s="166"/>
      <c r="K119" s="171"/>
      <c r="L119" s="104">
        <v>52.399616800000004</v>
      </c>
      <c r="M119" s="169"/>
      <c r="N119" s="165"/>
      <c r="O119" s="166"/>
      <c r="P119" s="167"/>
      <c r="Q119" s="168"/>
    </row>
    <row r="120" spans="1:17" x14ac:dyDescent="0.3">
      <c r="B120" s="113" t="s">
        <v>146</v>
      </c>
      <c r="C120" s="113" t="s">
        <v>161</v>
      </c>
      <c r="D120" s="109" t="s">
        <v>138</v>
      </c>
      <c r="E120" s="109">
        <v>2018</v>
      </c>
      <c r="F120" s="108">
        <v>12</v>
      </c>
      <c r="G120" s="105">
        <v>43.988232499999995</v>
      </c>
      <c r="H120" s="169"/>
      <c r="I120" s="165"/>
      <c r="J120" s="166"/>
      <c r="K120" s="171"/>
      <c r="L120" s="104">
        <v>53.689712499999999</v>
      </c>
      <c r="M120" s="169"/>
      <c r="N120" s="165"/>
      <c r="O120" s="166"/>
      <c r="P120" s="167"/>
      <c r="Q120" s="168"/>
    </row>
    <row r="121" spans="1:17" x14ac:dyDescent="0.3">
      <c r="B121" s="113" t="s">
        <v>146</v>
      </c>
      <c r="C121" s="112" t="s">
        <v>161</v>
      </c>
      <c r="D121" s="111" t="s">
        <v>138</v>
      </c>
      <c r="E121" s="111">
        <v>2019</v>
      </c>
      <c r="F121" s="110">
        <v>1</v>
      </c>
      <c r="G121" s="105">
        <v>43.2207005</v>
      </c>
      <c r="H121" s="169"/>
      <c r="I121" s="165"/>
      <c r="J121" s="166"/>
      <c r="K121" s="171"/>
      <c r="L121" s="104">
        <v>58.476680299999998</v>
      </c>
      <c r="M121" s="169"/>
      <c r="N121" s="165"/>
      <c r="O121" s="166"/>
      <c r="P121" s="167"/>
      <c r="Q121" s="168"/>
    </row>
    <row r="122" spans="1:17" x14ac:dyDescent="0.3">
      <c r="B122" s="113" t="s">
        <v>146</v>
      </c>
      <c r="C122" s="112" t="s">
        <v>161</v>
      </c>
      <c r="D122" s="111" t="s">
        <v>138</v>
      </c>
      <c r="E122" s="111">
        <v>2019</v>
      </c>
      <c r="F122" s="110">
        <v>2</v>
      </c>
      <c r="G122" s="105">
        <v>39.170773600000004</v>
      </c>
      <c r="H122" s="169"/>
      <c r="I122" s="165"/>
      <c r="J122" s="166"/>
      <c r="K122" s="171"/>
      <c r="L122" s="104">
        <v>54.805843800000005</v>
      </c>
      <c r="M122" s="169"/>
      <c r="N122" s="165"/>
      <c r="O122" s="166"/>
      <c r="P122" s="167"/>
      <c r="Q122" s="168"/>
    </row>
    <row r="123" spans="1:17" x14ac:dyDescent="0.3">
      <c r="B123" s="113" t="s">
        <v>146</v>
      </c>
      <c r="C123" s="112" t="s">
        <v>161</v>
      </c>
      <c r="D123" s="111" t="s">
        <v>138</v>
      </c>
      <c r="E123" s="111">
        <v>2019</v>
      </c>
      <c r="F123" s="110">
        <v>3</v>
      </c>
      <c r="G123" s="105">
        <v>39.176571500000001</v>
      </c>
      <c r="H123" s="169"/>
      <c r="I123" s="165"/>
      <c r="J123" s="166"/>
      <c r="K123" s="171"/>
      <c r="L123" s="104">
        <v>58.378851900000001</v>
      </c>
      <c r="M123" s="169"/>
      <c r="N123" s="165"/>
      <c r="O123" s="166"/>
      <c r="P123" s="167"/>
      <c r="Q123" s="168"/>
    </row>
    <row r="124" spans="1:17" x14ac:dyDescent="0.3">
      <c r="B124" s="109" t="s">
        <v>146</v>
      </c>
      <c r="C124" s="108" t="s">
        <v>161</v>
      </c>
      <c r="D124" s="107" t="s">
        <v>138</v>
      </c>
      <c r="E124" s="107">
        <v>2019</v>
      </c>
      <c r="F124" s="106">
        <v>4</v>
      </c>
      <c r="G124" s="105">
        <v>34.637173400000002</v>
      </c>
      <c r="H124" s="170"/>
      <c r="I124" s="165"/>
      <c r="J124" s="166"/>
      <c r="K124" s="171"/>
      <c r="L124" s="104">
        <v>48.951158300000003</v>
      </c>
      <c r="M124" s="169"/>
      <c r="N124" s="165"/>
      <c r="O124" s="166"/>
      <c r="P124" s="167"/>
      <c r="Q124" s="168"/>
    </row>
    <row r="125" spans="1:17" x14ac:dyDescent="0.3">
      <c r="A125" s="103"/>
      <c r="B125" s="113" t="s">
        <v>146</v>
      </c>
      <c r="C125" s="113" t="s">
        <v>161</v>
      </c>
      <c r="D125" s="113" t="s">
        <v>187</v>
      </c>
      <c r="E125" s="107">
        <v>2019</v>
      </c>
      <c r="F125" s="112">
        <v>5</v>
      </c>
      <c r="G125" s="105">
        <v>37.105003599999996</v>
      </c>
      <c r="H125" s="169">
        <f>AVERAGE(G125:G136)</f>
        <v>42.045013524999995</v>
      </c>
      <c r="I125" s="165">
        <v>0</v>
      </c>
      <c r="J125" s="166">
        <f>IF(H125-I125&lt;0,0,H125-I125)</f>
        <v>42.045013524999995</v>
      </c>
      <c r="K125" s="171">
        <f>AVERAGE(G125:G136)/MAX(G125:G136)</f>
        <v>0.71239574560955732</v>
      </c>
      <c r="L125" s="104">
        <v>46.771952800000001</v>
      </c>
      <c r="M125" s="169">
        <f>AVERAGE(L125:L136)</f>
        <v>58.23444756666666</v>
      </c>
      <c r="N125" s="165">
        <f>140*0.81</f>
        <v>113.4</v>
      </c>
      <c r="O125" s="166">
        <f>IF(N125-M125&gt;0,N125-M125,0)</f>
        <v>55.165552433333346</v>
      </c>
      <c r="P125" s="167" t="e">
        <f>AVERAGE(#REF!)/MAX(#REF!)</f>
        <v>#REF!</v>
      </c>
      <c r="Q125" s="168">
        <f>IF(J125-O125&lt;0,0,J125-O125)</f>
        <v>0</v>
      </c>
    </row>
    <row r="126" spans="1:17" x14ac:dyDescent="0.3">
      <c r="B126" s="113" t="s">
        <v>146</v>
      </c>
      <c r="C126" s="113" t="s">
        <v>161</v>
      </c>
      <c r="D126" s="113" t="s">
        <v>187</v>
      </c>
      <c r="E126" s="107">
        <v>2019</v>
      </c>
      <c r="F126" s="112">
        <v>6</v>
      </c>
      <c r="G126" s="105">
        <v>48.214669000000001</v>
      </c>
      <c r="H126" s="169"/>
      <c r="I126" s="165"/>
      <c r="J126" s="166"/>
      <c r="K126" s="171"/>
      <c r="L126" s="104">
        <v>64.688288599999993</v>
      </c>
      <c r="M126" s="169"/>
      <c r="N126" s="165"/>
      <c r="O126" s="166"/>
      <c r="P126" s="167"/>
      <c r="Q126" s="168"/>
    </row>
    <row r="127" spans="1:17" x14ac:dyDescent="0.3">
      <c r="B127" s="113" t="s">
        <v>146</v>
      </c>
      <c r="C127" s="113" t="s">
        <v>161</v>
      </c>
      <c r="D127" s="113" t="s">
        <v>187</v>
      </c>
      <c r="E127" s="107">
        <v>2019</v>
      </c>
      <c r="F127" s="112">
        <v>7</v>
      </c>
      <c r="G127" s="105">
        <v>59.019181100000004</v>
      </c>
      <c r="H127" s="169"/>
      <c r="I127" s="165"/>
      <c r="J127" s="166"/>
      <c r="K127" s="171"/>
      <c r="L127" s="104">
        <v>72.596436199999999</v>
      </c>
      <c r="M127" s="169"/>
      <c r="N127" s="165"/>
      <c r="O127" s="166"/>
      <c r="P127" s="167"/>
      <c r="Q127" s="168"/>
    </row>
    <row r="128" spans="1:17" x14ac:dyDescent="0.3">
      <c r="B128" s="113" t="s">
        <v>146</v>
      </c>
      <c r="C128" s="113" t="s">
        <v>161</v>
      </c>
      <c r="D128" s="113" t="s">
        <v>187</v>
      </c>
      <c r="E128" s="107">
        <v>2019</v>
      </c>
      <c r="F128" s="112">
        <v>8</v>
      </c>
      <c r="G128" s="105">
        <v>48.844443599999998</v>
      </c>
      <c r="H128" s="169"/>
      <c r="I128" s="165"/>
      <c r="J128" s="166"/>
      <c r="K128" s="171"/>
      <c r="L128" s="104">
        <v>78.690034100000005</v>
      </c>
      <c r="M128" s="169"/>
      <c r="N128" s="165"/>
      <c r="O128" s="166"/>
      <c r="P128" s="167"/>
      <c r="Q128" s="168"/>
    </row>
    <row r="129" spans="2:17" x14ac:dyDescent="0.3">
      <c r="B129" s="113" t="s">
        <v>146</v>
      </c>
      <c r="C129" s="113" t="s">
        <v>161</v>
      </c>
      <c r="D129" s="113" t="s">
        <v>187</v>
      </c>
      <c r="E129" s="107">
        <v>2019</v>
      </c>
      <c r="F129" s="112">
        <v>9</v>
      </c>
      <c r="G129" s="105">
        <v>47.929661299999999</v>
      </c>
      <c r="H129" s="169"/>
      <c r="I129" s="165"/>
      <c r="J129" s="166"/>
      <c r="K129" s="171"/>
      <c r="L129" s="104">
        <v>56.885049200000005</v>
      </c>
      <c r="M129" s="169"/>
      <c r="N129" s="165"/>
      <c r="O129" s="166"/>
      <c r="P129" s="167"/>
      <c r="Q129" s="168"/>
    </row>
    <row r="130" spans="2:17" x14ac:dyDescent="0.3">
      <c r="B130" s="113" t="s">
        <v>146</v>
      </c>
      <c r="C130" s="113" t="s">
        <v>161</v>
      </c>
      <c r="D130" s="113" t="s">
        <v>187</v>
      </c>
      <c r="E130" s="107">
        <v>2019</v>
      </c>
      <c r="F130" s="112">
        <v>10</v>
      </c>
      <c r="G130" s="105">
        <v>38.124740500000001</v>
      </c>
      <c r="H130" s="169"/>
      <c r="I130" s="165"/>
      <c r="J130" s="166"/>
      <c r="K130" s="171"/>
      <c r="L130" s="104">
        <v>55.706862299999997</v>
      </c>
      <c r="M130" s="169"/>
      <c r="N130" s="165"/>
      <c r="O130" s="166"/>
      <c r="P130" s="167"/>
      <c r="Q130" s="168"/>
    </row>
    <row r="131" spans="2:17" x14ac:dyDescent="0.3">
      <c r="B131" s="113" t="s">
        <v>146</v>
      </c>
      <c r="C131" s="113" t="s">
        <v>161</v>
      </c>
      <c r="D131" s="113" t="s">
        <v>187</v>
      </c>
      <c r="E131" s="107">
        <v>2019</v>
      </c>
      <c r="F131" s="112">
        <v>11</v>
      </c>
      <c r="G131" s="105">
        <v>40.101896699999998</v>
      </c>
      <c r="H131" s="169"/>
      <c r="I131" s="165"/>
      <c r="J131" s="166"/>
      <c r="K131" s="171"/>
      <c r="L131" s="104">
        <v>61.500246400000002</v>
      </c>
      <c r="M131" s="169"/>
      <c r="N131" s="165"/>
      <c r="O131" s="166"/>
      <c r="P131" s="167"/>
      <c r="Q131" s="168"/>
    </row>
    <row r="132" spans="2:17" x14ac:dyDescent="0.3">
      <c r="B132" s="113" t="s">
        <v>146</v>
      </c>
      <c r="C132" s="113" t="s">
        <v>161</v>
      </c>
      <c r="D132" s="113" t="s">
        <v>187</v>
      </c>
      <c r="E132" s="107">
        <v>2019</v>
      </c>
      <c r="F132" s="108">
        <v>12</v>
      </c>
      <c r="G132" s="105">
        <v>40.771427799999998</v>
      </c>
      <c r="H132" s="169"/>
      <c r="I132" s="165"/>
      <c r="J132" s="166"/>
      <c r="K132" s="171"/>
      <c r="L132" s="104">
        <v>56.122505400000001</v>
      </c>
      <c r="M132" s="169"/>
      <c r="N132" s="165"/>
      <c r="O132" s="166"/>
      <c r="P132" s="167"/>
      <c r="Q132" s="168"/>
    </row>
    <row r="133" spans="2:17" x14ac:dyDescent="0.3">
      <c r="B133" s="113" t="s">
        <v>146</v>
      </c>
      <c r="C133" s="112" t="s">
        <v>161</v>
      </c>
      <c r="D133" s="113" t="s">
        <v>187</v>
      </c>
      <c r="E133" s="111">
        <v>2020</v>
      </c>
      <c r="F133" s="110">
        <v>1</v>
      </c>
      <c r="G133" s="105">
        <v>39.054267799999998</v>
      </c>
      <c r="H133" s="169"/>
      <c r="I133" s="165"/>
      <c r="J133" s="166"/>
      <c r="K133" s="171"/>
      <c r="L133" s="104">
        <v>59.952775899999999</v>
      </c>
      <c r="M133" s="169"/>
      <c r="N133" s="165"/>
      <c r="O133" s="166"/>
      <c r="P133" s="167"/>
      <c r="Q133" s="168"/>
    </row>
    <row r="134" spans="2:17" x14ac:dyDescent="0.3">
      <c r="B134" s="113" t="s">
        <v>146</v>
      </c>
      <c r="C134" s="112" t="s">
        <v>161</v>
      </c>
      <c r="D134" s="113" t="s">
        <v>187</v>
      </c>
      <c r="E134" s="111">
        <v>2020</v>
      </c>
      <c r="F134" s="110">
        <v>2</v>
      </c>
      <c r="G134" s="105">
        <v>38.007753799999996</v>
      </c>
      <c r="H134" s="169"/>
      <c r="I134" s="165"/>
      <c r="J134" s="166"/>
      <c r="K134" s="171"/>
      <c r="L134" s="104">
        <v>54.087812700000001</v>
      </c>
      <c r="M134" s="169"/>
      <c r="N134" s="165"/>
      <c r="O134" s="166"/>
      <c r="P134" s="167"/>
      <c r="Q134" s="168"/>
    </row>
    <row r="135" spans="2:17" x14ac:dyDescent="0.3">
      <c r="B135" s="113" t="s">
        <v>146</v>
      </c>
      <c r="C135" s="112" t="s">
        <v>161</v>
      </c>
      <c r="D135" s="113" t="s">
        <v>187</v>
      </c>
      <c r="E135" s="111">
        <v>2020</v>
      </c>
      <c r="F135" s="110">
        <v>3</v>
      </c>
      <c r="G135" s="105">
        <v>36.595666799999996</v>
      </c>
      <c r="H135" s="169"/>
      <c r="I135" s="165"/>
      <c r="J135" s="166"/>
      <c r="K135" s="171"/>
      <c r="L135" s="104">
        <v>50.178277999999999</v>
      </c>
      <c r="M135" s="169"/>
      <c r="N135" s="165"/>
      <c r="O135" s="166"/>
      <c r="P135" s="167"/>
      <c r="Q135" s="168"/>
    </row>
    <row r="136" spans="2:17" x14ac:dyDescent="0.3">
      <c r="B136" s="109" t="s">
        <v>146</v>
      </c>
      <c r="C136" s="108" t="s">
        <v>161</v>
      </c>
      <c r="D136" s="113" t="s">
        <v>187</v>
      </c>
      <c r="E136" s="111">
        <v>2020</v>
      </c>
      <c r="F136" s="106">
        <v>4</v>
      </c>
      <c r="G136" s="105">
        <v>30.771450300000001</v>
      </c>
      <c r="H136" s="170"/>
      <c r="I136" s="165"/>
      <c r="J136" s="166"/>
      <c r="K136" s="171"/>
      <c r="L136" s="104">
        <v>41.633129200000006</v>
      </c>
      <c r="M136" s="169"/>
      <c r="N136" s="165"/>
      <c r="O136" s="166"/>
      <c r="P136" s="167"/>
      <c r="Q136" s="168"/>
    </row>
    <row r="137" spans="2:17" x14ac:dyDescent="0.3">
      <c r="E137" s="102"/>
      <c r="F137" s="102"/>
    </row>
    <row r="138" spans="2:17" x14ac:dyDescent="0.3">
      <c r="E138" s="102"/>
      <c r="F138" s="102"/>
    </row>
    <row r="139" spans="2:17" x14ac:dyDescent="0.3">
      <c r="E139" s="102"/>
      <c r="F139" s="102"/>
    </row>
    <row r="140" spans="2:17" x14ac:dyDescent="0.3">
      <c r="E140" s="102"/>
      <c r="F140" s="102"/>
    </row>
    <row r="141" spans="2:17" x14ac:dyDescent="0.3">
      <c r="E141" s="102"/>
      <c r="F141" s="102"/>
    </row>
    <row r="142" spans="2:17" x14ac:dyDescent="0.3">
      <c r="E142" s="102"/>
      <c r="F142" s="102"/>
    </row>
    <row r="143" spans="2:17" x14ac:dyDescent="0.3">
      <c r="E143" s="102"/>
      <c r="F143" s="102"/>
    </row>
    <row r="144" spans="2:17" x14ac:dyDescent="0.3">
      <c r="E144" s="102"/>
      <c r="F144" s="102"/>
    </row>
    <row r="145" spans="5:6" x14ac:dyDescent="0.3">
      <c r="E145" s="102"/>
      <c r="F145" s="102"/>
    </row>
    <row r="146" spans="5:6" x14ac:dyDescent="0.3">
      <c r="E146" s="102"/>
      <c r="F146" s="102"/>
    </row>
    <row r="147" spans="5:6" x14ac:dyDescent="0.3">
      <c r="E147" s="102"/>
      <c r="F147" s="102"/>
    </row>
    <row r="148" spans="5:6" x14ac:dyDescent="0.3">
      <c r="E148" s="102"/>
      <c r="F148" s="102"/>
    </row>
    <row r="149" spans="5:6" x14ac:dyDescent="0.3">
      <c r="E149" s="102"/>
      <c r="F149" s="102"/>
    </row>
    <row r="150" spans="5:6" x14ac:dyDescent="0.3">
      <c r="E150" s="102"/>
      <c r="F150" s="102"/>
    </row>
    <row r="151" spans="5:6" x14ac:dyDescent="0.3">
      <c r="E151" s="102"/>
      <c r="F151" s="102"/>
    </row>
    <row r="152" spans="5:6" x14ac:dyDescent="0.3">
      <c r="E152" s="102"/>
      <c r="F152" s="102"/>
    </row>
    <row r="153" spans="5:6" x14ac:dyDescent="0.3">
      <c r="E153" s="102"/>
      <c r="F153" s="102"/>
    </row>
    <row r="154" spans="5:6" x14ac:dyDescent="0.3">
      <c r="E154" s="102"/>
      <c r="F154" s="102"/>
    </row>
    <row r="155" spans="5:6" x14ac:dyDescent="0.3">
      <c r="E155" s="102"/>
      <c r="F155" s="102"/>
    </row>
    <row r="156" spans="5:6" x14ac:dyDescent="0.3">
      <c r="E156" s="102"/>
      <c r="F156" s="102"/>
    </row>
    <row r="157" spans="5:6" x14ac:dyDescent="0.3">
      <c r="E157" s="102"/>
      <c r="F157" s="102"/>
    </row>
    <row r="158" spans="5:6" x14ac:dyDescent="0.3">
      <c r="E158" s="102"/>
      <c r="F158" s="102"/>
    </row>
    <row r="159" spans="5:6" x14ac:dyDescent="0.3">
      <c r="E159" s="102"/>
      <c r="F159" s="102"/>
    </row>
    <row r="160" spans="5:6" x14ac:dyDescent="0.3">
      <c r="E160" s="102"/>
      <c r="F160" s="102"/>
    </row>
    <row r="161" spans="5:6" x14ac:dyDescent="0.3">
      <c r="E161" s="102"/>
      <c r="F161" s="102"/>
    </row>
    <row r="162" spans="5:6" x14ac:dyDescent="0.3">
      <c r="E162" s="102"/>
      <c r="F162" s="102"/>
    </row>
    <row r="163" spans="5:6" x14ac:dyDescent="0.3">
      <c r="E163" s="102"/>
      <c r="F163" s="102"/>
    </row>
    <row r="164" spans="5:6" x14ac:dyDescent="0.3">
      <c r="E164" s="102"/>
      <c r="F164" s="102"/>
    </row>
    <row r="165" spans="5:6" x14ac:dyDescent="0.3">
      <c r="E165" s="102"/>
      <c r="F165" s="102"/>
    </row>
    <row r="166" spans="5:6" x14ac:dyDescent="0.3">
      <c r="E166" s="102"/>
      <c r="F166" s="102"/>
    </row>
    <row r="167" spans="5:6" x14ac:dyDescent="0.3">
      <c r="E167" s="102"/>
      <c r="F167" s="102"/>
    </row>
    <row r="168" spans="5:6" x14ac:dyDescent="0.3">
      <c r="E168" s="102"/>
      <c r="F168" s="102"/>
    </row>
    <row r="169" spans="5:6" x14ac:dyDescent="0.3">
      <c r="E169" s="102"/>
      <c r="F169" s="102"/>
    </row>
    <row r="170" spans="5:6" x14ac:dyDescent="0.3">
      <c r="E170" s="102"/>
      <c r="F170" s="102"/>
    </row>
    <row r="171" spans="5:6" x14ac:dyDescent="0.3">
      <c r="E171" s="102"/>
      <c r="F171" s="102"/>
    </row>
    <row r="172" spans="5:6" x14ac:dyDescent="0.3">
      <c r="E172" s="102"/>
      <c r="F172" s="102"/>
    </row>
    <row r="173" spans="5:6" x14ac:dyDescent="0.3">
      <c r="E173" s="102"/>
      <c r="F173" s="102"/>
    </row>
    <row r="174" spans="5:6" x14ac:dyDescent="0.3">
      <c r="E174" s="102"/>
      <c r="F174" s="102"/>
    </row>
    <row r="175" spans="5:6" x14ac:dyDescent="0.3">
      <c r="E175" s="102"/>
      <c r="F175" s="102"/>
    </row>
    <row r="176" spans="5:6" x14ac:dyDescent="0.3">
      <c r="E176" s="102"/>
      <c r="F176" s="102"/>
    </row>
    <row r="177" spans="5:6" x14ac:dyDescent="0.3">
      <c r="E177" s="102"/>
      <c r="F177" s="102"/>
    </row>
    <row r="178" spans="5:6" x14ac:dyDescent="0.3">
      <c r="E178" s="102"/>
      <c r="F178" s="102"/>
    </row>
    <row r="179" spans="5:6" x14ac:dyDescent="0.3">
      <c r="E179" s="102"/>
      <c r="F179" s="102"/>
    </row>
    <row r="180" spans="5:6" x14ac:dyDescent="0.3">
      <c r="E180" s="102"/>
      <c r="F180" s="102"/>
    </row>
    <row r="181" spans="5:6" x14ac:dyDescent="0.3">
      <c r="E181" s="102"/>
      <c r="F181" s="102"/>
    </row>
    <row r="182" spans="5:6" x14ac:dyDescent="0.3">
      <c r="E182" s="102"/>
      <c r="F182" s="102"/>
    </row>
    <row r="183" spans="5:6" x14ac:dyDescent="0.3">
      <c r="E183" s="102"/>
      <c r="F183" s="102"/>
    </row>
    <row r="184" spans="5:6" x14ac:dyDescent="0.3">
      <c r="E184" s="102"/>
      <c r="F184" s="102"/>
    </row>
    <row r="185" spans="5:6" x14ac:dyDescent="0.3">
      <c r="E185" s="102"/>
      <c r="F185" s="102"/>
    </row>
  </sheetData>
  <autoFilter ref="B4:H136" xr:uid="{00000000-0009-0000-0000-000002000000}"/>
  <mergeCells count="104">
    <mergeCell ref="O113:O124"/>
    <mergeCell ref="P113:P124"/>
    <mergeCell ref="Q113:Q124"/>
    <mergeCell ref="N113:N124"/>
    <mergeCell ref="H113:H124"/>
    <mergeCell ref="I113:I124"/>
    <mergeCell ref="J113:J124"/>
    <mergeCell ref="K113:K124"/>
    <mergeCell ref="M113:M124"/>
    <mergeCell ref="H101:H112"/>
    <mergeCell ref="I101:I112"/>
    <mergeCell ref="J101:J112"/>
    <mergeCell ref="K101:K112"/>
    <mergeCell ref="M101:M112"/>
    <mergeCell ref="N101:N112"/>
    <mergeCell ref="O101:O112"/>
    <mergeCell ref="P101:P112"/>
    <mergeCell ref="Q101:Q112"/>
    <mergeCell ref="H89:H100"/>
    <mergeCell ref="I89:I100"/>
    <mergeCell ref="J89:J100"/>
    <mergeCell ref="K89:K100"/>
    <mergeCell ref="M89:M100"/>
    <mergeCell ref="N89:N100"/>
    <mergeCell ref="O89:O100"/>
    <mergeCell ref="P89:P100"/>
    <mergeCell ref="Q89:Q100"/>
    <mergeCell ref="N65:N76"/>
    <mergeCell ref="N41:N52"/>
    <mergeCell ref="O65:O76"/>
    <mergeCell ref="P65:P76"/>
    <mergeCell ref="Q65:Q76"/>
    <mergeCell ref="H77:H88"/>
    <mergeCell ref="I77:I88"/>
    <mergeCell ref="J77:J88"/>
    <mergeCell ref="K77:K88"/>
    <mergeCell ref="M77:M88"/>
    <mergeCell ref="N77:N88"/>
    <mergeCell ref="O77:O88"/>
    <mergeCell ref="H65:H76"/>
    <mergeCell ref="I65:I76"/>
    <mergeCell ref="J65:J76"/>
    <mergeCell ref="K65:K76"/>
    <mergeCell ref="M65:M76"/>
    <mergeCell ref="P77:P88"/>
    <mergeCell ref="Q77:Q88"/>
    <mergeCell ref="O41:O52"/>
    <mergeCell ref="P41:P52"/>
    <mergeCell ref="Q41:Q52"/>
    <mergeCell ref="N53:N64"/>
    <mergeCell ref="O53:O64"/>
    <mergeCell ref="P53:P64"/>
    <mergeCell ref="Q53:Q64"/>
    <mergeCell ref="H41:H52"/>
    <mergeCell ref="I41:I52"/>
    <mergeCell ref="J41:J52"/>
    <mergeCell ref="H53:H64"/>
    <mergeCell ref="I53:I64"/>
    <mergeCell ref="J53:J64"/>
    <mergeCell ref="K53:K64"/>
    <mergeCell ref="M53:M64"/>
    <mergeCell ref="K41:K52"/>
    <mergeCell ref="M41:M52"/>
    <mergeCell ref="N29:N40"/>
    <mergeCell ref="O29:O40"/>
    <mergeCell ref="P29:P40"/>
    <mergeCell ref="H17:H28"/>
    <mergeCell ref="Q29:Q40"/>
    <mergeCell ref="O17:O28"/>
    <mergeCell ref="I17:I28"/>
    <mergeCell ref="J17:J28"/>
    <mergeCell ref="K17:K28"/>
    <mergeCell ref="H29:H40"/>
    <mergeCell ref="I29:I40"/>
    <mergeCell ref="J29:J40"/>
    <mergeCell ref="K29:K40"/>
    <mergeCell ref="M29:M40"/>
    <mergeCell ref="M17:M28"/>
    <mergeCell ref="N17:N28"/>
    <mergeCell ref="P17:P28"/>
    <mergeCell ref="Q17:Q28"/>
    <mergeCell ref="B2:F3"/>
    <mergeCell ref="G2:K3"/>
    <mergeCell ref="L2:P2"/>
    <mergeCell ref="Q2:Q4"/>
    <mergeCell ref="L3:O3"/>
    <mergeCell ref="P5:P16"/>
    <mergeCell ref="Q5:Q16"/>
    <mergeCell ref="H5:H16"/>
    <mergeCell ref="I5:I16"/>
    <mergeCell ref="J5:J16"/>
    <mergeCell ref="K5:K16"/>
    <mergeCell ref="M5:M16"/>
    <mergeCell ref="N5:N16"/>
    <mergeCell ref="O5:O16"/>
    <mergeCell ref="N125:N136"/>
    <mergeCell ref="O125:O136"/>
    <mergeCell ref="P125:P136"/>
    <mergeCell ref="Q125:Q136"/>
    <mergeCell ref="H125:H136"/>
    <mergeCell ref="I125:I136"/>
    <mergeCell ref="J125:J136"/>
    <mergeCell ref="K125:K136"/>
    <mergeCell ref="M125:M136"/>
  </mergeCells>
  <conditionalFormatting sqref="O5:O124">
    <cfRule type="cellIs" dxfId="1" priority="2" operator="greaterThan">
      <formula>0</formula>
    </cfRule>
  </conditionalFormatting>
  <conditionalFormatting sqref="O125:O136">
    <cfRule type="cellIs" dxfId="0" priority="1" operator="greaterThan">
      <formula>0</formula>
    </cfRule>
  </conditionalFormatting>
  <pageMargins left="0.25" right="0.25" top="0.25" bottom="0.25" header="0.3" footer="0.3"/>
  <pageSetup paperSize="5" scale="87" fitToHeight="3" orientation="landscape" r:id="rId1"/>
  <rowBreaks count="1" manualBreakCount="1">
    <brk id="4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G19"/>
  <sheetViews>
    <sheetView workbookViewId="0"/>
  </sheetViews>
  <sheetFormatPr defaultRowHeight="14.4" x14ac:dyDescent="0.3"/>
  <cols>
    <col min="1" max="1" width="21.44140625" bestFit="1" customWidth="1"/>
    <col min="2" max="2" width="10.5546875" bestFit="1" customWidth="1"/>
  </cols>
  <sheetData>
    <row r="1" spans="1:33" s="4" customFormat="1" ht="28.8" x14ac:dyDescent="0.55000000000000004">
      <c r="A1" s="4" t="s">
        <v>25</v>
      </c>
    </row>
    <row r="2" spans="1:33" s="4" customFormat="1" ht="60" customHeight="1" x14ac:dyDescent="0.55000000000000004">
      <c r="A2" s="180" t="s">
        <v>38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</row>
    <row r="3" spans="1:33" s="4" customFormat="1" ht="29.4" thickBot="1" x14ac:dyDescent="0.6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33" x14ac:dyDescent="0.3">
      <c r="A4" s="12" t="s">
        <v>26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4"/>
    </row>
    <row r="5" spans="1:33" x14ac:dyDescent="0.3">
      <c r="A5" s="66" t="s">
        <v>17</v>
      </c>
      <c r="B5" s="67">
        <f>Checklist!C5</f>
        <v>39934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17"/>
    </row>
    <row r="6" spans="1:33" x14ac:dyDescent="0.3">
      <c r="A6" s="1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17"/>
    </row>
    <row r="7" spans="1:33" x14ac:dyDescent="0.3">
      <c r="A7" s="19" t="s">
        <v>6</v>
      </c>
      <c r="B7" s="3">
        <f>YEAR(B5)</f>
        <v>2009</v>
      </c>
      <c r="C7" s="3">
        <f>B7+1</f>
        <v>2010</v>
      </c>
      <c r="D7" s="3">
        <f>C7+1</f>
        <v>2011</v>
      </c>
      <c r="E7" s="3">
        <f t="shared" ref="E7" si="0">D7+1</f>
        <v>2012</v>
      </c>
      <c r="F7" s="3">
        <f t="shared" ref="F7" si="1">E7+1</f>
        <v>2013</v>
      </c>
      <c r="G7" s="3">
        <f t="shared" ref="G7" si="2">F7+1</f>
        <v>2014</v>
      </c>
      <c r="H7" s="3">
        <f t="shared" ref="H7" si="3">G7+1</f>
        <v>2015</v>
      </c>
      <c r="I7" s="3">
        <f t="shared" ref="I7" si="4">H7+1</f>
        <v>2016</v>
      </c>
      <c r="J7" s="3">
        <f t="shared" ref="J7" si="5">I7+1</f>
        <v>2017</v>
      </c>
      <c r="K7" s="3">
        <f t="shared" ref="K7" si="6">J7+1</f>
        <v>2018</v>
      </c>
      <c r="L7" s="3">
        <f t="shared" ref="L7" si="7">K7+1</f>
        <v>2019</v>
      </c>
      <c r="M7" s="3">
        <f t="shared" ref="M7" si="8">L7+1</f>
        <v>2020</v>
      </c>
      <c r="N7" s="3">
        <f t="shared" ref="N7" si="9">M7+1</f>
        <v>2021</v>
      </c>
      <c r="O7" s="3">
        <f t="shared" ref="O7" si="10">N7+1</f>
        <v>2022</v>
      </c>
      <c r="P7" s="3">
        <f t="shared" ref="P7" si="11">O7+1</f>
        <v>2023</v>
      </c>
      <c r="Q7" s="3">
        <f t="shared" ref="Q7" si="12">P7+1</f>
        <v>2024</v>
      </c>
      <c r="R7" s="3">
        <f t="shared" ref="R7" si="13">Q7+1</f>
        <v>2025</v>
      </c>
      <c r="S7" s="3">
        <f t="shared" ref="S7" si="14">R7+1</f>
        <v>2026</v>
      </c>
      <c r="T7" s="3">
        <f t="shared" ref="T7" si="15">S7+1</f>
        <v>2027</v>
      </c>
      <c r="U7" s="3">
        <f t="shared" ref="U7" si="16">T7+1</f>
        <v>2028</v>
      </c>
      <c r="V7" s="3">
        <f t="shared" ref="V7" si="17">U7+1</f>
        <v>2029</v>
      </c>
      <c r="W7" s="3">
        <f t="shared" ref="W7" si="18">V7+1</f>
        <v>2030</v>
      </c>
      <c r="X7" s="3">
        <f t="shared" ref="X7" si="19">W7+1</f>
        <v>2031</v>
      </c>
      <c r="Y7" s="3">
        <f t="shared" ref="Y7" si="20">X7+1</f>
        <v>2032</v>
      </c>
      <c r="Z7" s="3">
        <f t="shared" ref="Z7:AA7" si="21">Y7+1</f>
        <v>2033</v>
      </c>
      <c r="AA7" s="17">
        <f t="shared" si="21"/>
        <v>2034</v>
      </c>
    </row>
    <row r="8" spans="1:33" ht="28.8" x14ac:dyDescent="0.3">
      <c r="A8" s="18" t="s">
        <v>18</v>
      </c>
      <c r="B8" s="151">
        <v>0.89987794371051122</v>
      </c>
      <c r="C8" s="151">
        <v>0.90305370305370303</v>
      </c>
      <c r="D8" s="151">
        <v>0.92092428778043123</v>
      </c>
      <c r="E8" s="151">
        <v>0.97748142379700831</v>
      </c>
      <c r="F8" s="151">
        <v>0.98597660671613629</v>
      </c>
      <c r="G8" s="151">
        <v>0.98600068593521029</v>
      </c>
      <c r="H8" s="151">
        <v>0.98895962112125968</v>
      </c>
      <c r="I8" s="151">
        <v>0.9896365274857315</v>
      </c>
      <c r="J8" s="151">
        <v>0.98969183734206323</v>
      </c>
      <c r="K8" s="151">
        <v>0.99151236810743248</v>
      </c>
      <c r="L8" s="151">
        <v>0.9920412253077584</v>
      </c>
      <c r="M8" s="151">
        <v>0.99207766766536065</v>
      </c>
      <c r="N8" s="151">
        <v>1</v>
      </c>
      <c r="O8" s="151">
        <v>1</v>
      </c>
      <c r="P8" s="151">
        <v>1</v>
      </c>
      <c r="Q8" s="151">
        <v>1</v>
      </c>
      <c r="R8" s="151">
        <v>1</v>
      </c>
      <c r="S8" s="151">
        <v>1</v>
      </c>
      <c r="T8" s="151">
        <v>1</v>
      </c>
      <c r="U8" s="151">
        <v>1</v>
      </c>
      <c r="V8" s="151">
        <v>1</v>
      </c>
      <c r="W8" s="151">
        <v>1</v>
      </c>
      <c r="X8" s="151">
        <v>1</v>
      </c>
      <c r="Y8" s="151">
        <v>1</v>
      </c>
      <c r="Z8" s="151">
        <v>1</v>
      </c>
      <c r="AA8" s="152">
        <v>1</v>
      </c>
      <c r="AC8" s="79"/>
      <c r="AD8" s="79"/>
      <c r="AE8" s="79"/>
      <c r="AF8" s="79"/>
      <c r="AG8" s="79"/>
    </row>
    <row r="9" spans="1:33" ht="29.4" thickBot="1" x14ac:dyDescent="0.35">
      <c r="A9" s="20" t="s">
        <v>21</v>
      </c>
      <c r="B9" s="148">
        <v>0.89987794371051122</v>
      </c>
      <c r="C9" s="148">
        <v>0.90305370305370303</v>
      </c>
      <c r="D9" s="148">
        <v>0.92092428778043123</v>
      </c>
      <c r="E9" s="148">
        <v>0.97748142379700831</v>
      </c>
      <c r="F9" s="148">
        <v>0.98597660671613629</v>
      </c>
      <c r="G9" s="148">
        <v>0.98600068593521029</v>
      </c>
      <c r="H9" s="148">
        <v>0.98895962112125968</v>
      </c>
      <c r="I9" s="148">
        <v>0.9896365274857315</v>
      </c>
      <c r="J9" s="148">
        <v>0.98969183734206323</v>
      </c>
      <c r="K9" s="148">
        <v>0.99151236810743248</v>
      </c>
      <c r="L9" s="148">
        <v>0.9920412253077584</v>
      </c>
      <c r="M9" s="148">
        <v>0.99207766766536065</v>
      </c>
      <c r="N9" s="148">
        <v>0.99226320596076745</v>
      </c>
      <c r="O9" s="148">
        <v>0.99244534428165265</v>
      </c>
      <c r="P9" s="148">
        <v>0.99262413733881916</v>
      </c>
      <c r="Q9" s="148">
        <v>0.9927996390643633</v>
      </c>
      <c r="R9" s="148">
        <v>0.99297190262061075</v>
      </c>
      <c r="S9" s="148">
        <v>0.99314098040901122</v>
      </c>
      <c r="T9" s="148">
        <v>0.99330692407899068</v>
      </c>
      <c r="U9" s="148">
        <v>0.99346978453675672</v>
      </c>
      <c r="V9" s="148">
        <v>0.99362961195405863</v>
      </c>
      <c r="W9" s="148">
        <v>0.99378645577689728</v>
      </c>
      <c r="X9" s="148">
        <v>0.99394036473418523</v>
      </c>
      <c r="Y9" s="148">
        <v>0.9940913868463549</v>
      </c>
      <c r="Z9" s="148">
        <v>0.99423956943391223</v>
      </c>
      <c r="AA9" s="149">
        <v>0.99438495912593683</v>
      </c>
    </row>
    <row r="12" spans="1:33" x14ac:dyDescent="0.3">
      <c r="AB12" t="s">
        <v>139</v>
      </c>
    </row>
    <row r="13" spans="1:33" ht="15" thickBot="1" x14ac:dyDescent="0.35"/>
    <row r="14" spans="1:33" s="4" customFormat="1" ht="15" customHeight="1" x14ac:dyDescent="0.55000000000000004">
      <c r="A14" s="12" t="s">
        <v>37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4"/>
    </row>
    <row r="15" spans="1:33" x14ac:dyDescent="0.3">
      <c r="A15" s="15" t="s">
        <v>17</v>
      </c>
      <c r="B15" s="16">
        <v>38718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17"/>
    </row>
    <row r="16" spans="1:33" x14ac:dyDescent="0.3">
      <c r="A16" s="15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17"/>
    </row>
    <row r="17" spans="1:26" x14ac:dyDescent="0.3">
      <c r="A17" s="19" t="s">
        <v>6</v>
      </c>
      <c r="B17" s="3">
        <f>YEAR(B15)</f>
        <v>2006</v>
      </c>
      <c r="C17" s="3">
        <f>B17+1</f>
        <v>2007</v>
      </c>
      <c r="D17" s="3">
        <f>C17+1</f>
        <v>2008</v>
      </c>
      <c r="E17" s="3">
        <f t="shared" ref="E17:Z17" si="22">D17+1</f>
        <v>2009</v>
      </c>
      <c r="F17" s="3">
        <f t="shared" si="22"/>
        <v>2010</v>
      </c>
      <c r="G17" s="3">
        <f t="shared" si="22"/>
        <v>2011</v>
      </c>
      <c r="H17" s="3">
        <f t="shared" si="22"/>
        <v>2012</v>
      </c>
      <c r="I17" s="3">
        <f t="shared" si="22"/>
        <v>2013</v>
      </c>
      <c r="J17" s="3">
        <f t="shared" si="22"/>
        <v>2014</v>
      </c>
      <c r="K17" s="3">
        <f t="shared" si="22"/>
        <v>2015</v>
      </c>
      <c r="L17" s="3">
        <f t="shared" si="22"/>
        <v>2016</v>
      </c>
      <c r="M17" s="3">
        <f t="shared" si="22"/>
        <v>2017</v>
      </c>
      <c r="N17" s="3">
        <f t="shared" si="22"/>
        <v>2018</v>
      </c>
      <c r="O17" s="3">
        <f t="shared" si="22"/>
        <v>2019</v>
      </c>
      <c r="P17" s="3">
        <f t="shared" si="22"/>
        <v>2020</v>
      </c>
      <c r="Q17" s="3">
        <f t="shared" si="22"/>
        <v>2021</v>
      </c>
      <c r="R17" s="3">
        <f t="shared" si="22"/>
        <v>2022</v>
      </c>
      <c r="S17" s="3">
        <f t="shared" si="22"/>
        <v>2023</v>
      </c>
      <c r="T17" s="3">
        <f t="shared" si="22"/>
        <v>2024</v>
      </c>
      <c r="U17" s="3">
        <f t="shared" si="22"/>
        <v>2025</v>
      </c>
      <c r="V17" s="3">
        <f t="shared" si="22"/>
        <v>2026</v>
      </c>
      <c r="W17" s="3">
        <f t="shared" si="22"/>
        <v>2027</v>
      </c>
      <c r="X17" s="3">
        <f t="shared" si="22"/>
        <v>2028</v>
      </c>
      <c r="Y17" s="3">
        <f t="shared" si="22"/>
        <v>2029</v>
      </c>
      <c r="Z17" s="17">
        <f t="shared" si="22"/>
        <v>2030</v>
      </c>
    </row>
    <row r="18" spans="1:26" ht="28.8" x14ac:dyDescent="0.3">
      <c r="A18" s="18" t="s">
        <v>18</v>
      </c>
      <c r="B18" s="21">
        <v>0.5</v>
      </c>
      <c r="C18" s="21">
        <v>0.6</v>
      </c>
      <c r="D18" s="21">
        <v>0.7</v>
      </c>
      <c r="E18" s="22">
        <v>1</v>
      </c>
      <c r="F18" s="22">
        <v>1</v>
      </c>
      <c r="G18" s="22">
        <v>1</v>
      </c>
      <c r="H18" s="22">
        <v>1</v>
      </c>
      <c r="I18" s="22">
        <v>1</v>
      </c>
      <c r="J18" s="22">
        <v>1</v>
      </c>
      <c r="K18" s="22">
        <v>1</v>
      </c>
      <c r="L18" s="22">
        <v>1</v>
      </c>
      <c r="M18" s="22">
        <v>1</v>
      </c>
      <c r="N18" s="22">
        <v>1</v>
      </c>
      <c r="O18" s="22">
        <v>1</v>
      </c>
      <c r="P18" s="22">
        <v>1</v>
      </c>
      <c r="Q18" s="22">
        <v>1</v>
      </c>
      <c r="R18" s="22">
        <v>1</v>
      </c>
      <c r="S18" s="22">
        <v>1</v>
      </c>
      <c r="T18" s="22">
        <v>1</v>
      </c>
      <c r="U18" s="22">
        <v>1</v>
      </c>
      <c r="V18" s="22">
        <v>1</v>
      </c>
      <c r="W18" s="22">
        <v>1</v>
      </c>
      <c r="X18" s="22">
        <v>1</v>
      </c>
      <c r="Y18" s="22">
        <v>1</v>
      </c>
      <c r="Z18" s="24">
        <v>1</v>
      </c>
    </row>
    <row r="19" spans="1:26" ht="29.4" thickBot="1" x14ac:dyDescent="0.35">
      <c r="A19" s="20" t="s">
        <v>21</v>
      </c>
      <c r="B19" s="23">
        <v>0</v>
      </c>
      <c r="C19" s="23">
        <v>0</v>
      </c>
      <c r="D19" s="23">
        <v>0.46</v>
      </c>
      <c r="E19" s="23">
        <v>0.82</v>
      </c>
      <c r="F19" s="23">
        <v>0.89</v>
      </c>
      <c r="G19" s="23">
        <v>1</v>
      </c>
      <c r="H19" s="23">
        <v>1</v>
      </c>
      <c r="I19" s="23">
        <v>1</v>
      </c>
      <c r="J19" s="23">
        <v>1</v>
      </c>
      <c r="K19" s="23">
        <v>1</v>
      </c>
      <c r="L19" s="23">
        <v>1</v>
      </c>
      <c r="M19" s="23">
        <v>1</v>
      </c>
      <c r="N19" s="23">
        <v>1</v>
      </c>
      <c r="O19" s="23">
        <v>1</v>
      </c>
      <c r="P19" s="23">
        <v>1</v>
      </c>
      <c r="Q19" s="23">
        <v>1</v>
      </c>
      <c r="R19" s="23">
        <v>1</v>
      </c>
      <c r="S19" s="23">
        <v>1</v>
      </c>
      <c r="T19" s="23">
        <v>1</v>
      </c>
      <c r="U19" s="23">
        <v>1</v>
      </c>
      <c r="V19" s="23">
        <v>1</v>
      </c>
      <c r="W19" s="23">
        <v>1</v>
      </c>
      <c r="X19" s="23">
        <v>1</v>
      </c>
      <c r="Y19" s="23">
        <v>1</v>
      </c>
      <c r="Z19" s="25">
        <v>1</v>
      </c>
    </row>
  </sheetData>
  <mergeCells count="1">
    <mergeCell ref="A2:Z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T161"/>
  <sheetViews>
    <sheetView topLeftCell="A34" workbookViewId="0"/>
  </sheetViews>
  <sheetFormatPr defaultRowHeight="14.4" x14ac:dyDescent="0.3"/>
  <cols>
    <col min="1" max="1" width="52.5546875" bestFit="1" customWidth="1"/>
    <col min="5" max="5" width="10.44140625" bestFit="1" customWidth="1"/>
    <col min="6" max="6" width="11.5546875" customWidth="1"/>
  </cols>
  <sheetData>
    <row r="1" spans="1:20" ht="28.8" x14ac:dyDescent="0.55000000000000004">
      <c r="A1" s="4" t="s">
        <v>10</v>
      </c>
    </row>
    <row r="2" spans="1:20" x14ac:dyDescent="0.3">
      <c r="A2" s="184" t="s">
        <v>31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</row>
    <row r="3" spans="1:20" x14ac:dyDescent="0.3">
      <c r="A3" s="184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</row>
    <row r="17" spans="1:6" ht="55.2" x14ac:dyDescent="0.3">
      <c r="A17" s="144" t="s">
        <v>4</v>
      </c>
      <c r="B17" s="140" t="s">
        <v>5</v>
      </c>
      <c r="C17" s="140" t="s">
        <v>6</v>
      </c>
      <c r="D17" s="140" t="s">
        <v>7</v>
      </c>
      <c r="E17" s="139" t="s">
        <v>8</v>
      </c>
      <c r="F17" s="139" t="s">
        <v>185</v>
      </c>
    </row>
    <row r="18" spans="1:6" s="82" customFormat="1" x14ac:dyDescent="0.3">
      <c r="A18" s="138" t="str">
        <f>Checklist!$C$1</f>
        <v xml:space="preserve">Newmarket - Tay Power Distribution Ltd </v>
      </c>
      <c r="B18" s="145" t="s">
        <v>143</v>
      </c>
      <c r="C18" s="146">
        <v>2008</v>
      </c>
      <c r="D18" s="146">
        <v>5</v>
      </c>
      <c r="E18" s="147">
        <v>103.5056</v>
      </c>
      <c r="F18" s="181">
        <f>AVERAGE(E18:E29)</f>
        <v>121.86683000000001</v>
      </c>
    </row>
    <row r="19" spans="1:6" s="82" customFormat="1" x14ac:dyDescent="0.3">
      <c r="A19" s="138" t="str">
        <f>Checklist!$C$1</f>
        <v xml:space="preserve">Newmarket - Tay Power Distribution Ltd </v>
      </c>
      <c r="B19" s="145" t="s">
        <v>143</v>
      </c>
      <c r="C19" s="146">
        <v>2008</v>
      </c>
      <c r="D19" s="146">
        <v>6</v>
      </c>
      <c r="E19" s="147">
        <v>140.62932000000001</v>
      </c>
      <c r="F19" s="182"/>
    </row>
    <row r="20" spans="1:6" s="82" customFormat="1" x14ac:dyDescent="0.3">
      <c r="A20" s="138" t="str">
        <f>Checklist!$C$1</f>
        <v xml:space="preserve">Newmarket - Tay Power Distribution Ltd </v>
      </c>
      <c r="B20" s="145" t="s">
        <v>143</v>
      </c>
      <c r="C20" s="146">
        <v>2008</v>
      </c>
      <c r="D20" s="146">
        <v>7</v>
      </c>
      <c r="E20" s="147">
        <v>141.06800000000001</v>
      </c>
      <c r="F20" s="182"/>
    </row>
    <row r="21" spans="1:6" s="82" customFormat="1" x14ac:dyDescent="0.3">
      <c r="A21" s="138" t="str">
        <f>Checklist!$C$1</f>
        <v xml:space="preserve">Newmarket - Tay Power Distribution Ltd </v>
      </c>
      <c r="B21" s="145" t="s">
        <v>143</v>
      </c>
      <c r="C21" s="146">
        <v>2008</v>
      </c>
      <c r="D21" s="146">
        <v>8</v>
      </c>
      <c r="E21" s="147">
        <v>137.95664000000002</v>
      </c>
      <c r="F21" s="182"/>
    </row>
    <row r="22" spans="1:6" s="82" customFormat="1" x14ac:dyDescent="0.3">
      <c r="A22" s="138" t="str">
        <f>Checklist!$C$1</f>
        <v xml:space="preserve">Newmarket - Tay Power Distribution Ltd </v>
      </c>
      <c r="B22" s="145" t="s">
        <v>143</v>
      </c>
      <c r="C22" s="146">
        <v>2008</v>
      </c>
      <c r="D22" s="146">
        <v>9</v>
      </c>
      <c r="E22" s="147">
        <v>134.297</v>
      </c>
      <c r="F22" s="182"/>
    </row>
    <row r="23" spans="1:6" s="82" customFormat="1" x14ac:dyDescent="0.3">
      <c r="A23" s="138" t="str">
        <f>Checklist!$C$1</f>
        <v xml:space="preserve">Newmarket - Tay Power Distribution Ltd </v>
      </c>
      <c r="B23" s="145" t="s">
        <v>143</v>
      </c>
      <c r="C23" s="146">
        <v>2008</v>
      </c>
      <c r="D23" s="146">
        <v>10</v>
      </c>
      <c r="E23" s="147">
        <v>106.5692</v>
      </c>
      <c r="F23" s="182"/>
    </row>
    <row r="24" spans="1:6" s="82" customFormat="1" x14ac:dyDescent="0.3">
      <c r="A24" s="138" t="str">
        <f>Checklist!$C$1</f>
        <v xml:space="preserve">Newmarket - Tay Power Distribution Ltd </v>
      </c>
      <c r="B24" s="145" t="s">
        <v>143</v>
      </c>
      <c r="C24" s="146">
        <v>2008</v>
      </c>
      <c r="D24" s="146">
        <v>11</v>
      </c>
      <c r="E24" s="147">
        <v>114.752</v>
      </c>
      <c r="F24" s="182"/>
    </row>
    <row r="25" spans="1:6" s="82" customFormat="1" x14ac:dyDescent="0.3">
      <c r="A25" s="138" t="str">
        <f>Checklist!$C$1</f>
        <v xml:space="preserve">Newmarket - Tay Power Distribution Ltd </v>
      </c>
      <c r="B25" s="145" t="s">
        <v>143</v>
      </c>
      <c r="C25" s="146">
        <v>2008</v>
      </c>
      <c r="D25" s="146">
        <v>12</v>
      </c>
      <c r="E25" s="147">
        <v>123.4254</v>
      </c>
      <c r="F25" s="182"/>
    </row>
    <row r="26" spans="1:6" s="82" customFormat="1" x14ac:dyDescent="0.3">
      <c r="A26" s="138" t="str">
        <f>Checklist!$C$1</f>
        <v xml:space="preserve">Newmarket - Tay Power Distribution Ltd </v>
      </c>
      <c r="B26" s="145" t="s">
        <v>143</v>
      </c>
      <c r="C26" s="146">
        <v>2009</v>
      </c>
      <c r="D26" s="146">
        <v>1</v>
      </c>
      <c r="E26" s="147">
        <v>123.2958</v>
      </c>
      <c r="F26" s="182"/>
    </row>
    <row r="27" spans="1:6" s="82" customFormat="1" x14ac:dyDescent="0.3">
      <c r="A27" s="138" t="str">
        <f>Checklist!$C$1</f>
        <v xml:space="preserve">Newmarket - Tay Power Distribution Ltd </v>
      </c>
      <c r="B27" s="145" t="s">
        <v>143</v>
      </c>
      <c r="C27" s="146">
        <v>2009</v>
      </c>
      <c r="D27" s="146">
        <v>2</v>
      </c>
      <c r="E27" s="147">
        <v>119.36239999999999</v>
      </c>
      <c r="F27" s="182"/>
    </row>
    <row r="28" spans="1:6" s="82" customFormat="1" x14ac:dyDescent="0.3">
      <c r="A28" s="138" t="str">
        <f>Checklist!$C$1</f>
        <v xml:space="preserve">Newmarket - Tay Power Distribution Ltd </v>
      </c>
      <c r="B28" s="145" t="s">
        <v>143</v>
      </c>
      <c r="C28" s="146">
        <v>2009</v>
      </c>
      <c r="D28" s="146">
        <v>3</v>
      </c>
      <c r="E28" s="147">
        <v>116.6622</v>
      </c>
      <c r="F28" s="182"/>
    </row>
    <row r="29" spans="1:6" s="82" customFormat="1" x14ac:dyDescent="0.3">
      <c r="A29" s="138" t="str">
        <f>Checklist!$C$1</f>
        <v xml:space="preserve">Newmarket - Tay Power Distribution Ltd </v>
      </c>
      <c r="B29" s="145" t="s">
        <v>143</v>
      </c>
      <c r="C29" s="146">
        <v>2009</v>
      </c>
      <c r="D29" s="146">
        <v>4</v>
      </c>
      <c r="E29" s="147">
        <v>100.8784</v>
      </c>
      <c r="F29" s="183"/>
    </row>
    <row r="30" spans="1:6" s="82" customFormat="1" x14ac:dyDescent="0.3">
      <c r="A30" s="138" t="str">
        <f>Checklist!$C$1</f>
        <v xml:space="preserve">Newmarket - Tay Power Distribution Ltd </v>
      </c>
      <c r="B30" s="145" t="s">
        <v>9</v>
      </c>
      <c r="C30" s="146">
        <v>2009</v>
      </c>
      <c r="D30" s="146">
        <v>5</v>
      </c>
      <c r="E30" s="147">
        <v>101.7056</v>
      </c>
      <c r="F30" s="181">
        <f t="shared" ref="F30" si="0">AVERAGE(E30:E41)</f>
        <v>111.87536666666666</v>
      </c>
    </row>
    <row r="31" spans="1:6" s="82" customFormat="1" x14ac:dyDescent="0.3">
      <c r="A31" s="138" t="str">
        <f>Checklist!$C$1</f>
        <v xml:space="preserve">Newmarket - Tay Power Distribution Ltd </v>
      </c>
      <c r="B31" s="145" t="s">
        <v>9</v>
      </c>
      <c r="C31" s="146">
        <v>2009</v>
      </c>
      <c r="D31" s="146">
        <v>6</v>
      </c>
      <c r="E31" s="147">
        <v>134.67140000000001</v>
      </c>
      <c r="F31" s="182"/>
    </row>
    <row r="32" spans="1:6" s="82" customFormat="1" x14ac:dyDescent="0.3">
      <c r="A32" s="138" t="str">
        <f>Checklist!$C$1</f>
        <v xml:space="preserve">Newmarket - Tay Power Distribution Ltd </v>
      </c>
      <c r="B32" s="145" t="s">
        <v>9</v>
      </c>
      <c r="C32" s="146">
        <v>2009</v>
      </c>
      <c r="D32" s="146">
        <v>7</v>
      </c>
      <c r="E32" s="147">
        <v>113.6648</v>
      </c>
      <c r="F32" s="182"/>
    </row>
    <row r="33" spans="1:6" s="82" customFormat="1" x14ac:dyDescent="0.3">
      <c r="A33" s="138" t="str">
        <f>Checklist!$C$1</f>
        <v xml:space="preserve">Newmarket - Tay Power Distribution Ltd </v>
      </c>
      <c r="B33" s="145" t="s">
        <v>144</v>
      </c>
      <c r="C33" s="146">
        <v>2009</v>
      </c>
      <c r="D33" s="146">
        <v>8</v>
      </c>
      <c r="E33" s="147">
        <v>142.3124</v>
      </c>
      <c r="F33" s="182"/>
    </row>
    <row r="34" spans="1:6" s="82" customFormat="1" x14ac:dyDescent="0.3">
      <c r="A34" s="138" t="str">
        <f>Checklist!$C$1</f>
        <v xml:space="preserve">Newmarket - Tay Power Distribution Ltd </v>
      </c>
      <c r="B34" s="145" t="s">
        <v>9</v>
      </c>
      <c r="C34" s="146">
        <v>2009</v>
      </c>
      <c r="D34" s="146">
        <v>9</v>
      </c>
      <c r="E34" s="147">
        <v>107.30800000000001</v>
      </c>
      <c r="F34" s="182"/>
    </row>
    <row r="35" spans="1:6" s="82" customFormat="1" x14ac:dyDescent="0.3">
      <c r="A35" s="138" t="str">
        <f>Checklist!$C$1</f>
        <v xml:space="preserve">Newmarket - Tay Power Distribution Ltd </v>
      </c>
      <c r="B35" s="145" t="s">
        <v>9</v>
      </c>
      <c r="C35" s="146">
        <v>2009</v>
      </c>
      <c r="D35" s="146">
        <v>10</v>
      </c>
      <c r="E35" s="147">
        <v>97.03</v>
      </c>
      <c r="F35" s="182"/>
    </row>
    <row r="36" spans="1:6" s="82" customFormat="1" x14ac:dyDescent="0.3">
      <c r="A36" s="138" t="str">
        <f>Checklist!$C$1</f>
        <v xml:space="preserve">Newmarket - Tay Power Distribution Ltd </v>
      </c>
      <c r="B36" s="145" t="s">
        <v>9</v>
      </c>
      <c r="C36" s="146">
        <v>2009</v>
      </c>
      <c r="D36" s="146">
        <v>11</v>
      </c>
      <c r="E36" s="147">
        <v>106.63039999999999</v>
      </c>
      <c r="F36" s="182"/>
    </row>
    <row r="37" spans="1:6" s="82" customFormat="1" x14ac:dyDescent="0.3">
      <c r="A37" s="138" t="str">
        <f>Checklist!$C$1</f>
        <v xml:space="preserve">Newmarket - Tay Power Distribution Ltd </v>
      </c>
      <c r="B37" s="145" t="s">
        <v>9</v>
      </c>
      <c r="C37" s="146">
        <v>2009</v>
      </c>
      <c r="D37" s="146">
        <v>12</v>
      </c>
      <c r="E37" s="147">
        <v>116.9568</v>
      </c>
      <c r="F37" s="182"/>
    </row>
    <row r="38" spans="1:6" s="82" customFormat="1" x14ac:dyDescent="0.3">
      <c r="A38" s="138" t="str">
        <f>Checklist!$C$1</f>
        <v xml:space="preserve">Newmarket - Tay Power Distribution Ltd </v>
      </c>
      <c r="B38" s="145" t="s">
        <v>9</v>
      </c>
      <c r="C38" s="146">
        <v>2010</v>
      </c>
      <c r="D38" s="146">
        <v>1</v>
      </c>
      <c r="E38" s="147">
        <v>118.4486</v>
      </c>
      <c r="F38" s="182"/>
    </row>
    <row r="39" spans="1:6" s="82" customFormat="1" x14ac:dyDescent="0.3">
      <c r="A39" s="138" t="str">
        <f>Checklist!$C$1</f>
        <v xml:space="preserve">Newmarket - Tay Power Distribution Ltd </v>
      </c>
      <c r="B39" s="145" t="s">
        <v>9</v>
      </c>
      <c r="C39" s="146">
        <v>2010</v>
      </c>
      <c r="D39" s="146">
        <v>2</v>
      </c>
      <c r="E39" s="147">
        <v>111.748</v>
      </c>
      <c r="F39" s="182"/>
    </row>
    <row r="40" spans="1:6" s="82" customFormat="1" x14ac:dyDescent="0.3">
      <c r="A40" s="138" t="str">
        <f>Checklist!$C$1</f>
        <v xml:space="preserve">Newmarket - Tay Power Distribution Ltd </v>
      </c>
      <c r="B40" s="145" t="s">
        <v>9</v>
      </c>
      <c r="C40" s="146">
        <v>2010</v>
      </c>
      <c r="D40" s="146">
        <v>3</v>
      </c>
      <c r="E40" s="147">
        <v>102.24639999999999</v>
      </c>
      <c r="F40" s="182"/>
    </row>
    <row r="41" spans="1:6" s="82" customFormat="1" x14ac:dyDescent="0.3">
      <c r="A41" s="138" t="str">
        <f>Checklist!$C$1</f>
        <v xml:space="preserve">Newmarket - Tay Power Distribution Ltd </v>
      </c>
      <c r="B41" s="145" t="s">
        <v>9</v>
      </c>
      <c r="C41" s="146">
        <v>2010</v>
      </c>
      <c r="D41" s="146">
        <v>4</v>
      </c>
      <c r="E41" s="147">
        <v>89.781999999999996</v>
      </c>
      <c r="F41" s="183"/>
    </row>
    <row r="42" spans="1:6" s="82" customFormat="1" x14ac:dyDescent="0.3">
      <c r="A42" s="138" t="str">
        <f>Checklist!$C$1</f>
        <v xml:space="preserve">Newmarket - Tay Power Distribution Ltd </v>
      </c>
      <c r="B42" s="145" t="s">
        <v>27</v>
      </c>
      <c r="C42" s="146">
        <v>2010</v>
      </c>
      <c r="D42" s="146">
        <v>5</v>
      </c>
      <c r="E42" s="147">
        <v>135.68460000000002</v>
      </c>
      <c r="F42" s="181">
        <f t="shared" ref="F42" si="1">AVERAGE(E42:E53)</f>
        <v>121.02608333333335</v>
      </c>
    </row>
    <row r="43" spans="1:6" s="82" customFormat="1" x14ac:dyDescent="0.3">
      <c r="A43" s="138" t="str">
        <f>Checklist!$C$1</f>
        <v xml:space="preserve">Newmarket - Tay Power Distribution Ltd </v>
      </c>
      <c r="B43" s="145" t="s">
        <v>27</v>
      </c>
      <c r="C43" s="146">
        <v>2010</v>
      </c>
      <c r="D43" s="146">
        <v>6</v>
      </c>
      <c r="E43" s="147">
        <v>122.8574</v>
      </c>
      <c r="F43" s="182"/>
    </row>
    <row r="44" spans="1:6" s="82" customFormat="1" x14ac:dyDescent="0.3">
      <c r="A44" s="138" t="str">
        <f>Checklist!$C$1</f>
        <v xml:space="preserve">Newmarket - Tay Power Distribution Ltd </v>
      </c>
      <c r="B44" s="145" t="s">
        <v>27</v>
      </c>
      <c r="C44" s="146">
        <v>2010</v>
      </c>
      <c r="D44" s="146">
        <v>7</v>
      </c>
      <c r="E44" s="147">
        <v>153.82739999999998</v>
      </c>
      <c r="F44" s="182"/>
    </row>
    <row r="45" spans="1:6" s="82" customFormat="1" x14ac:dyDescent="0.3">
      <c r="A45" s="138" t="str">
        <f>Checklist!$C$1</f>
        <v xml:space="preserve">Newmarket - Tay Power Distribution Ltd </v>
      </c>
      <c r="B45" s="145" t="s">
        <v>27</v>
      </c>
      <c r="C45" s="146">
        <v>2010</v>
      </c>
      <c r="D45" s="146">
        <v>8</v>
      </c>
      <c r="E45" s="147">
        <v>148.232</v>
      </c>
      <c r="F45" s="182"/>
    </row>
    <row r="46" spans="1:6" s="82" customFormat="1" x14ac:dyDescent="0.3">
      <c r="A46" s="138" t="str">
        <f>Checklist!$C$1</f>
        <v xml:space="preserve">Newmarket - Tay Power Distribution Ltd </v>
      </c>
      <c r="B46" s="145" t="s">
        <v>27</v>
      </c>
      <c r="C46" s="146">
        <v>2010</v>
      </c>
      <c r="D46" s="146">
        <v>9</v>
      </c>
      <c r="E46" s="147">
        <v>147.55779999999999</v>
      </c>
      <c r="F46" s="182"/>
    </row>
    <row r="47" spans="1:6" s="82" customFormat="1" x14ac:dyDescent="0.3">
      <c r="A47" s="138" t="str">
        <f>Checklist!$C$1</f>
        <v xml:space="preserve">Newmarket - Tay Power Distribution Ltd </v>
      </c>
      <c r="B47" s="145" t="s">
        <v>27</v>
      </c>
      <c r="C47" s="146">
        <v>2010</v>
      </c>
      <c r="D47" s="146">
        <v>10</v>
      </c>
      <c r="E47" s="147">
        <v>94.225200000000001</v>
      </c>
      <c r="F47" s="182"/>
    </row>
    <row r="48" spans="1:6" s="82" customFormat="1" x14ac:dyDescent="0.3">
      <c r="A48" s="138" t="str">
        <f>Checklist!$C$1</f>
        <v xml:space="preserve">Newmarket - Tay Power Distribution Ltd </v>
      </c>
      <c r="B48" s="145" t="s">
        <v>27</v>
      </c>
      <c r="C48" s="146">
        <v>2010</v>
      </c>
      <c r="D48" s="146">
        <v>11</v>
      </c>
      <c r="E48" s="147">
        <v>104.6816</v>
      </c>
      <c r="F48" s="182"/>
    </row>
    <row r="49" spans="1:6" s="82" customFormat="1" x14ac:dyDescent="0.3">
      <c r="A49" s="138" t="str">
        <f>Checklist!$C$1</f>
        <v xml:space="preserve">Newmarket - Tay Power Distribution Ltd </v>
      </c>
      <c r="B49" s="145" t="s">
        <v>27</v>
      </c>
      <c r="C49" s="146">
        <v>2010</v>
      </c>
      <c r="D49" s="146">
        <v>12</v>
      </c>
      <c r="E49" s="147">
        <v>119.771</v>
      </c>
      <c r="F49" s="182"/>
    </row>
    <row r="50" spans="1:6" s="82" customFormat="1" x14ac:dyDescent="0.3">
      <c r="A50" s="138" t="str">
        <f>Checklist!$C$1</f>
        <v xml:space="preserve">Newmarket - Tay Power Distribution Ltd </v>
      </c>
      <c r="B50" s="145" t="s">
        <v>27</v>
      </c>
      <c r="C50" s="146">
        <v>2011</v>
      </c>
      <c r="D50" s="146">
        <v>1</v>
      </c>
      <c r="E50" s="147">
        <v>115.5956</v>
      </c>
      <c r="F50" s="182"/>
    </row>
    <row r="51" spans="1:6" s="82" customFormat="1" x14ac:dyDescent="0.3">
      <c r="A51" s="138" t="str">
        <f>Checklist!$C$1</f>
        <v xml:space="preserve">Newmarket - Tay Power Distribution Ltd </v>
      </c>
      <c r="B51" s="145" t="s">
        <v>27</v>
      </c>
      <c r="C51" s="146">
        <v>2011</v>
      </c>
      <c r="D51" s="146">
        <v>2</v>
      </c>
      <c r="E51" s="147">
        <v>112.32039999999999</v>
      </c>
      <c r="F51" s="182"/>
    </row>
    <row r="52" spans="1:6" s="82" customFormat="1" x14ac:dyDescent="0.3">
      <c r="A52" s="138" t="str">
        <f>Checklist!$C$1</f>
        <v xml:space="preserve">Newmarket - Tay Power Distribution Ltd </v>
      </c>
      <c r="B52" s="145" t="s">
        <v>27</v>
      </c>
      <c r="C52" s="146">
        <v>2011</v>
      </c>
      <c r="D52" s="146">
        <v>3</v>
      </c>
      <c r="E52" s="147">
        <v>105.95480000000001</v>
      </c>
      <c r="F52" s="182"/>
    </row>
    <row r="53" spans="1:6" s="82" customFormat="1" x14ac:dyDescent="0.3">
      <c r="A53" s="138" t="str">
        <f>Checklist!$C$1</f>
        <v xml:space="preserve">Newmarket - Tay Power Distribution Ltd </v>
      </c>
      <c r="B53" s="145" t="s">
        <v>27</v>
      </c>
      <c r="C53" s="146">
        <v>2011</v>
      </c>
      <c r="D53" s="146">
        <v>4</v>
      </c>
      <c r="E53" s="147">
        <v>91.605199999999996</v>
      </c>
      <c r="F53" s="183"/>
    </row>
    <row r="54" spans="1:6" s="82" customFormat="1" x14ac:dyDescent="0.3">
      <c r="A54" s="138" t="str">
        <f>Checklist!$C$1</f>
        <v xml:space="preserve">Newmarket - Tay Power Distribution Ltd </v>
      </c>
      <c r="B54" s="145" t="s">
        <v>28</v>
      </c>
      <c r="C54" s="146">
        <v>2011</v>
      </c>
      <c r="D54" s="146">
        <v>5</v>
      </c>
      <c r="E54" s="147">
        <v>132.05420000000001</v>
      </c>
      <c r="F54" s="181">
        <f t="shared" ref="F54" si="2">AVERAGE(E54:E65)</f>
        <v>116.49656666666668</v>
      </c>
    </row>
    <row r="55" spans="1:6" s="82" customFormat="1" x14ac:dyDescent="0.3">
      <c r="A55" s="138" t="str">
        <f>Checklist!$C$1</f>
        <v xml:space="preserve">Newmarket - Tay Power Distribution Ltd </v>
      </c>
      <c r="B55" s="145" t="s">
        <v>28</v>
      </c>
      <c r="C55" s="146">
        <v>2011</v>
      </c>
      <c r="D55" s="146">
        <v>6</v>
      </c>
      <c r="E55" s="147">
        <v>135.49639999999999</v>
      </c>
      <c r="F55" s="182"/>
    </row>
    <row r="56" spans="1:6" s="82" customFormat="1" x14ac:dyDescent="0.3">
      <c r="A56" s="138" t="str">
        <f>Checklist!$C$1</f>
        <v xml:space="preserve">Newmarket - Tay Power Distribution Ltd </v>
      </c>
      <c r="B56" s="145" t="s">
        <v>28</v>
      </c>
      <c r="C56" s="146">
        <v>2011</v>
      </c>
      <c r="D56" s="146">
        <v>7</v>
      </c>
      <c r="E56" s="147">
        <v>156.8158</v>
      </c>
      <c r="F56" s="182"/>
    </row>
    <row r="57" spans="1:6" s="82" customFormat="1" x14ac:dyDescent="0.3">
      <c r="A57" s="138" t="str">
        <f>Checklist!$C$1</f>
        <v xml:space="preserve">Newmarket - Tay Power Distribution Ltd </v>
      </c>
      <c r="B57" s="145" t="s">
        <v>28</v>
      </c>
      <c r="C57" s="146">
        <v>2011</v>
      </c>
      <c r="D57" s="146">
        <v>8</v>
      </c>
      <c r="E57" s="147">
        <v>130.27180000000001</v>
      </c>
      <c r="F57" s="182"/>
    </row>
    <row r="58" spans="1:6" s="82" customFormat="1" x14ac:dyDescent="0.3">
      <c r="A58" s="138" t="str">
        <f>Checklist!$C$1</f>
        <v xml:space="preserve">Newmarket - Tay Power Distribution Ltd </v>
      </c>
      <c r="B58" s="145" t="s">
        <v>28</v>
      </c>
      <c r="C58" s="146">
        <v>2011</v>
      </c>
      <c r="D58" s="146">
        <v>9</v>
      </c>
      <c r="E58" s="147">
        <v>122.3386</v>
      </c>
      <c r="F58" s="182"/>
    </row>
    <row r="59" spans="1:6" s="82" customFormat="1" x14ac:dyDescent="0.3">
      <c r="A59" s="138" t="str">
        <f>Checklist!$C$1</f>
        <v xml:space="preserve">Newmarket - Tay Power Distribution Ltd </v>
      </c>
      <c r="B59" s="145" t="s">
        <v>28</v>
      </c>
      <c r="C59" s="146">
        <v>2011</v>
      </c>
      <c r="D59" s="146">
        <v>10</v>
      </c>
      <c r="E59" s="147">
        <v>93.727999999999994</v>
      </c>
      <c r="F59" s="182"/>
    </row>
    <row r="60" spans="1:6" s="82" customFormat="1" x14ac:dyDescent="0.3">
      <c r="A60" s="138" t="str">
        <f>Checklist!$C$1</f>
        <v xml:space="preserve">Newmarket - Tay Power Distribution Ltd </v>
      </c>
      <c r="B60" s="145" t="s">
        <v>28</v>
      </c>
      <c r="C60" s="146">
        <v>2011</v>
      </c>
      <c r="D60" s="146">
        <v>11</v>
      </c>
      <c r="E60" s="147">
        <v>107.1512</v>
      </c>
      <c r="F60" s="182"/>
    </row>
    <row r="61" spans="1:6" s="82" customFormat="1" x14ac:dyDescent="0.3">
      <c r="A61" s="138" t="str">
        <f>Checklist!$C$1</f>
        <v xml:space="preserve">Newmarket - Tay Power Distribution Ltd </v>
      </c>
      <c r="B61" s="145" t="s">
        <v>28</v>
      </c>
      <c r="C61" s="146">
        <v>2011</v>
      </c>
      <c r="D61" s="146">
        <v>12</v>
      </c>
      <c r="E61" s="147">
        <v>108.789</v>
      </c>
      <c r="F61" s="182"/>
    </row>
    <row r="62" spans="1:6" s="82" customFormat="1" x14ac:dyDescent="0.3">
      <c r="A62" s="138" t="str">
        <f>Checklist!$C$1</f>
        <v xml:space="preserve">Newmarket - Tay Power Distribution Ltd </v>
      </c>
      <c r="B62" s="145" t="s">
        <v>28</v>
      </c>
      <c r="C62" s="146">
        <v>2012</v>
      </c>
      <c r="D62" s="146">
        <v>1</v>
      </c>
      <c r="E62" s="147">
        <v>114.065</v>
      </c>
      <c r="F62" s="182"/>
    </row>
    <row r="63" spans="1:6" s="82" customFormat="1" x14ac:dyDescent="0.3">
      <c r="A63" s="138" t="str">
        <f>Checklist!$C$1</f>
        <v xml:space="preserve">Newmarket - Tay Power Distribution Ltd </v>
      </c>
      <c r="B63" s="145" t="s">
        <v>28</v>
      </c>
      <c r="C63" s="146">
        <v>2012</v>
      </c>
      <c r="D63" s="146">
        <v>2</v>
      </c>
      <c r="E63" s="147">
        <v>102.98180000000001</v>
      </c>
      <c r="F63" s="182"/>
    </row>
    <row r="64" spans="1:6" s="82" customFormat="1" x14ac:dyDescent="0.3">
      <c r="A64" s="138" t="str">
        <f>Checklist!$C$1</f>
        <v xml:space="preserve">Newmarket - Tay Power Distribution Ltd </v>
      </c>
      <c r="B64" s="145" t="s">
        <v>28</v>
      </c>
      <c r="C64" s="146">
        <v>2012</v>
      </c>
      <c r="D64" s="146">
        <v>3</v>
      </c>
      <c r="E64" s="147">
        <v>103.36919999999999</v>
      </c>
      <c r="F64" s="182"/>
    </row>
    <row r="65" spans="1:6" s="82" customFormat="1" x14ac:dyDescent="0.3">
      <c r="A65" s="138" t="str">
        <f>Checklist!$C$1</f>
        <v xml:space="preserve">Newmarket - Tay Power Distribution Ltd </v>
      </c>
      <c r="B65" s="145" t="s">
        <v>28</v>
      </c>
      <c r="C65" s="146">
        <v>2012</v>
      </c>
      <c r="D65" s="146">
        <v>4</v>
      </c>
      <c r="E65" s="147">
        <v>90.897800000000004</v>
      </c>
      <c r="F65" s="183"/>
    </row>
    <row r="66" spans="1:6" s="82" customFormat="1" x14ac:dyDescent="0.3">
      <c r="A66" s="138" t="str">
        <f>Checklist!$C$1</f>
        <v xml:space="preserve">Newmarket - Tay Power Distribution Ltd </v>
      </c>
      <c r="B66" s="145" t="s">
        <v>29</v>
      </c>
      <c r="C66" s="146">
        <v>2012</v>
      </c>
      <c r="D66" s="146">
        <v>5</v>
      </c>
      <c r="E66" s="147">
        <v>127.42319999999999</v>
      </c>
      <c r="F66" s="181">
        <f>AVERAGE(E66:E77)</f>
        <v>117.52213333333331</v>
      </c>
    </row>
    <row r="67" spans="1:6" s="82" customFormat="1" x14ac:dyDescent="0.3">
      <c r="A67" s="138" t="str">
        <f>Checklist!$C$1</f>
        <v xml:space="preserve">Newmarket - Tay Power Distribution Ltd </v>
      </c>
      <c r="B67" s="145" t="s">
        <v>29</v>
      </c>
      <c r="C67" s="146">
        <v>2012</v>
      </c>
      <c r="D67" s="146">
        <v>6</v>
      </c>
      <c r="E67" s="147">
        <v>150.8938</v>
      </c>
      <c r="F67" s="182"/>
    </row>
    <row r="68" spans="1:6" s="82" customFormat="1" x14ac:dyDescent="0.3">
      <c r="A68" s="138" t="str">
        <f>Checklist!$C$1</f>
        <v xml:space="preserve">Newmarket - Tay Power Distribution Ltd </v>
      </c>
      <c r="B68" s="145" t="s">
        <v>29</v>
      </c>
      <c r="C68" s="146">
        <v>2012</v>
      </c>
      <c r="D68" s="146">
        <v>7</v>
      </c>
      <c r="E68" s="147">
        <v>154.69039999999998</v>
      </c>
      <c r="F68" s="182"/>
    </row>
    <row r="69" spans="1:6" s="82" customFormat="1" x14ac:dyDescent="0.3">
      <c r="A69" s="138" t="str">
        <f>Checklist!$C$1</f>
        <v xml:space="preserve">Newmarket - Tay Power Distribution Ltd </v>
      </c>
      <c r="B69" s="145" t="s">
        <v>29</v>
      </c>
      <c r="C69" s="146">
        <v>2012</v>
      </c>
      <c r="D69" s="146">
        <v>8</v>
      </c>
      <c r="E69" s="147">
        <v>132.46679999999998</v>
      </c>
      <c r="F69" s="182"/>
    </row>
    <row r="70" spans="1:6" s="82" customFormat="1" x14ac:dyDescent="0.3">
      <c r="A70" s="138" t="str">
        <f>Checklist!$C$1</f>
        <v xml:space="preserve">Newmarket - Tay Power Distribution Ltd </v>
      </c>
      <c r="B70" s="145" t="s">
        <v>29</v>
      </c>
      <c r="C70" s="146">
        <v>2012</v>
      </c>
      <c r="D70" s="146">
        <v>9</v>
      </c>
      <c r="E70" s="147">
        <v>119.26639999999999</v>
      </c>
      <c r="F70" s="182"/>
    </row>
    <row r="71" spans="1:6" s="82" customFormat="1" x14ac:dyDescent="0.3">
      <c r="A71" s="138" t="str">
        <f>Checklist!$C$1</f>
        <v xml:space="preserve">Newmarket - Tay Power Distribution Ltd </v>
      </c>
      <c r="B71" s="145" t="s">
        <v>29</v>
      </c>
      <c r="C71" s="146">
        <v>2012</v>
      </c>
      <c r="D71" s="146">
        <v>10</v>
      </c>
      <c r="E71" s="147">
        <v>96.381399999999999</v>
      </c>
      <c r="F71" s="182"/>
    </row>
    <row r="72" spans="1:6" s="82" customFormat="1" x14ac:dyDescent="0.3">
      <c r="A72" s="138" t="str">
        <f>Checklist!$C$1</f>
        <v xml:space="preserve">Newmarket - Tay Power Distribution Ltd </v>
      </c>
      <c r="B72" s="145" t="s">
        <v>29</v>
      </c>
      <c r="C72" s="146">
        <v>2012</v>
      </c>
      <c r="D72" s="146">
        <v>11</v>
      </c>
      <c r="E72" s="147">
        <v>104.9498</v>
      </c>
      <c r="F72" s="182"/>
    </row>
    <row r="73" spans="1:6" s="82" customFormat="1" x14ac:dyDescent="0.3">
      <c r="A73" s="138" t="str">
        <f>Checklist!$C$1</f>
        <v xml:space="preserve">Newmarket - Tay Power Distribution Ltd </v>
      </c>
      <c r="B73" s="145" t="s">
        <v>29</v>
      </c>
      <c r="C73" s="146">
        <v>2012</v>
      </c>
      <c r="D73" s="146">
        <v>12</v>
      </c>
      <c r="E73" s="147">
        <v>107.3004</v>
      </c>
      <c r="F73" s="182"/>
    </row>
    <row r="74" spans="1:6" s="82" customFormat="1" x14ac:dyDescent="0.3">
      <c r="A74" s="138" t="str">
        <f>Checklist!$C$1</f>
        <v xml:space="preserve">Newmarket - Tay Power Distribution Ltd </v>
      </c>
      <c r="B74" s="145" t="s">
        <v>29</v>
      </c>
      <c r="C74" s="146">
        <v>2013</v>
      </c>
      <c r="D74" s="146">
        <v>1</v>
      </c>
      <c r="E74" s="147">
        <v>112.57719999999999</v>
      </c>
      <c r="F74" s="182"/>
    </row>
    <row r="75" spans="1:6" s="82" customFormat="1" x14ac:dyDescent="0.3">
      <c r="A75" s="138" t="str">
        <f>Checklist!$C$1</f>
        <v xml:space="preserve">Newmarket - Tay Power Distribution Ltd </v>
      </c>
      <c r="B75" s="145" t="s">
        <v>29</v>
      </c>
      <c r="C75" s="146">
        <v>2013</v>
      </c>
      <c r="D75" s="146">
        <v>2</v>
      </c>
      <c r="E75" s="147">
        <v>107.056</v>
      </c>
      <c r="F75" s="182"/>
    </row>
    <row r="76" spans="1:6" s="82" customFormat="1" x14ac:dyDescent="0.3">
      <c r="A76" s="138" t="str">
        <f>Checklist!$C$1</f>
        <v xml:space="preserve">Newmarket - Tay Power Distribution Ltd </v>
      </c>
      <c r="B76" s="145" t="s">
        <v>29</v>
      </c>
      <c r="C76" s="146">
        <v>2013</v>
      </c>
      <c r="D76" s="146">
        <v>3</v>
      </c>
      <c r="E76" s="147">
        <v>102.182</v>
      </c>
      <c r="F76" s="182"/>
    </row>
    <row r="77" spans="1:6" s="82" customFormat="1" x14ac:dyDescent="0.3">
      <c r="A77" s="138" t="str">
        <f>Checklist!$C$1</f>
        <v xml:space="preserve">Newmarket - Tay Power Distribution Ltd </v>
      </c>
      <c r="B77" s="145" t="s">
        <v>29</v>
      </c>
      <c r="C77" s="146">
        <v>2013</v>
      </c>
      <c r="D77" s="146">
        <v>4</v>
      </c>
      <c r="E77" s="147">
        <v>95.078199999999995</v>
      </c>
      <c r="F77" s="183"/>
    </row>
    <row r="78" spans="1:6" s="82" customFormat="1" x14ac:dyDescent="0.3">
      <c r="A78" s="138" t="str">
        <f>Checklist!$C$1</f>
        <v xml:space="preserve">Newmarket - Tay Power Distribution Ltd </v>
      </c>
      <c r="B78" s="145" t="s">
        <v>30</v>
      </c>
      <c r="C78" s="146">
        <v>2013</v>
      </c>
      <c r="D78" s="146">
        <v>5</v>
      </c>
      <c r="E78" s="147">
        <v>124.18539999999999</v>
      </c>
      <c r="F78" s="181">
        <f t="shared" ref="F78" si="3">AVERAGE(E78:E89)</f>
        <v>120.16603333333332</v>
      </c>
    </row>
    <row r="79" spans="1:6" s="82" customFormat="1" x14ac:dyDescent="0.3">
      <c r="A79" s="138" t="str">
        <f>Checklist!$C$1</f>
        <v xml:space="preserve">Newmarket - Tay Power Distribution Ltd </v>
      </c>
      <c r="B79" s="145" t="s">
        <v>30</v>
      </c>
      <c r="C79" s="146">
        <v>2013</v>
      </c>
      <c r="D79" s="146">
        <v>6</v>
      </c>
      <c r="E79" s="147">
        <v>143.89339999999999</v>
      </c>
      <c r="F79" s="182"/>
    </row>
    <row r="80" spans="1:6" s="82" customFormat="1" x14ac:dyDescent="0.3">
      <c r="A80" s="138" t="str">
        <f>Checklist!$C$1</f>
        <v xml:space="preserve">Newmarket - Tay Power Distribution Ltd </v>
      </c>
      <c r="B80" s="145" t="s">
        <v>30</v>
      </c>
      <c r="C80" s="146">
        <v>2013</v>
      </c>
      <c r="D80" s="146">
        <v>7</v>
      </c>
      <c r="E80" s="147">
        <v>153.11860000000001</v>
      </c>
      <c r="F80" s="182"/>
    </row>
    <row r="81" spans="1:6" s="82" customFormat="1" x14ac:dyDescent="0.3">
      <c r="A81" s="138" t="str">
        <f>Checklist!$C$1</f>
        <v xml:space="preserve">Newmarket - Tay Power Distribution Ltd </v>
      </c>
      <c r="B81" s="145" t="s">
        <v>30</v>
      </c>
      <c r="C81" s="146">
        <v>2013</v>
      </c>
      <c r="D81" s="146">
        <v>8</v>
      </c>
      <c r="E81" s="147">
        <v>134.88239999999999</v>
      </c>
      <c r="F81" s="182"/>
    </row>
    <row r="82" spans="1:6" s="82" customFormat="1" x14ac:dyDescent="0.3">
      <c r="A82" s="138" t="str">
        <f>Checklist!$C$1</f>
        <v xml:space="preserve">Newmarket - Tay Power Distribution Ltd </v>
      </c>
      <c r="B82" s="145" t="s">
        <v>30</v>
      </c>
      <c r="C82" s="146">
        <v>2013</v>
      </c>
      <c r="D82" s="146">
        <v>9</v>
      </c>
      <c r="E82" s="147">
        <v>139.51939999999999</v>
      </c>
      <c r="F82" s="182"/>
    </row>
    <row r="83" spans="1:6" s="82" customFormat="1" x14ac:dyDescent="0.3">
      <c r="A83" s="138" t="str">
        <f>Checklist!$C$1</f>
        <v xml:space="preserve">Newmarket - Tay Power Distribution Ltd </v>
      </c>
      <c r="B83" s="145" t="s">
        <v>30</v>
      </c>
      <c r="C83" s="146">
        <v>2013</v>
      </c>
      <c r="D83" s="146">
        <v>10</v>
      </c>
      <c r="E83" s="147">
        <v>93.089799999999997</v>
      </c>
      <c r="F83" s="182"/>
    </row>
    <row r="84" spans="1:6" s="82" customFormat="1" x14ac:dyDescent="0.3">
      <c r="A84" s="138" t="str">
        <f>Checklist!$C$1</f>
        <v xml:space="preserve">Newmarket - Tay Power Distribution Ltd </v>
      </c>
      <c r="B84" s="145" t="s">
        <v>30</v>
      </c>
      <c r="C84" s="146">
        <v>2013</v>
      </c>
      <c r="D84" s="146">
        <v>11</v>
      </c>
      <c r="E84" s="147">
        <v>106.78660000000001</v>
      </c>
      <c r="F84" s="182"/>
    </row>
    <row r="85" spans="1:6" s="82" customFormat="1" x14ac:dyDescent="0.3">
      <c r="A85" s="138" t="str">
        <f>Checklist!$C$1</f>
        <v xml:space="preserve">Newmarket - Tay Power Distribution Ltd </v>
      </c>
      <c r="B85" s="145" t="s">
        <v>30</v>
      </c>
      <c r="C85" s="146">
        <v>2013</v>
      </c>
      <c r="D85" s="146">
        <v>12</v>
      </c>
      <c r="E85" s="147">
        <v>115.80260000000001</v>
      </c>
      <c r="F85" s="182"/>
    </row>
    <row r="86" spans="1:6" s="82" customFormat="1" x14ac:dyDescent="0.3">
      <c r="A86" s="138" t="str">
        <f>Checklist!$C$1</f>
        <v xml:space="preserve">Newmarket - Tay Power Distribution Ltd </v>
      </c>
      <c r="B86" s="145" t="s">
        <v>30</v>
      </c>
      <c r="C86" s="146">
        <v>2014</v>
      </c>
      <c r="D86" s="146">
        <v>1</v>
      </c>
      <c r="E86" s="147">
        <v>118.07239999999999</v>
      </c>
      <c r="F86" s="182"/>
    </row>
    <row r="87" spans="1:6" s="82" customFormat="1" x14ac:dyDescent="0.3">
      <c r="A87" s="138" t="str">
        <f>Checklist!$C$1</f>
        <v xml:space="preserve">Newmarket - Tay Power Distribution Ltd </v>
      </c>
      <c r="B87" s="145" t="s">
        <v>30</v>
      </c>
      <c r="C87" s="146">
        <v>2014</v>
      </c>
      <c r="D87" s="146">
        <v>2</v>
      </c>
      <c r="E87" s="147">
        <v>110.9144</v>
      </c>
      <c r="F87" s="182"/>
    </row>
    <row r="88" spans="1:6" s="82" customFormat="1" x14ac:dyDescent="0.3">
      <c r="A88" s="138" t="str">
        <f>Checklist!$C$1</f>
        <v xml:space="preserve">Newmarket - Tay Power Distribution Ltd </v>
      </c>
      <c r="B88" s="145" t="s">
        <v>30</v>
      </c>
      <c r="C88" s="146">
        <v>2014</v>
      </c>
      <c r="D88" s="146">
        <v>3</v>
      </c>
      <c r="E88" s="147">
        <v>109.07339999999999</v>
      </c>
      <c r="F88" s="182"/>
    </row>
    <row r="89" spans="1:6" s="82" customFormat="1" x14ac:dyDescent="0.3">
      <c r="A89" s="138" t="str">
        <f>Checklist!$C$1</f>
        <v xml:space="preserve">Newmarket - Tay Power Distribution Ltd </v>
      </c>
      <c r="B89" s="145" t="s">
        <v>30</v>
      </c>
      <c r="C89" s="146">
        <v>2014</v>
      </c>
      <c r="D89" s="146">
        <v>4</v>
      </c>
      <c r="E89" s="147">
        <v>92.653999999999996</v>
      </c>
      <c r="F89" s="183"/>
    </row>
    <row r="90" spans="1:6" s="82" customFormat="1" x14ac:dyDescent="0.3">
      <c r="A90" s="138" t="str">
        <f>Checklist!$C$1</f>
        <v xml:space="preserve">Newmarket - Tay Power Distribution Ltd </v>
      </c>
      <c r="B90" s="145" t="s">
        <v>53</v>
      </c>
      <c r="C90" s="146">
        <v>2014</v>
      </c>
      <c r="D90" s="146">
        <v>5</v>
      </c>
      <c r="E90" s="147">
        <v>106.393</v>
      </c>
      <c r="F90" s="181">
        <f>AVERAGE(E90:E101)</f>
        <v>112.82765000000001</v>
      </c>
    </row>
    <row r="91" spans="1:6" s="82" customFormat="1" x14ac:dyDescent="0.3">
      <c r="A91" s="138" t="str">
        <f>Checklist!$C$1</f>
        <v xml:space="preserve">Newmarket - Tay Power Distribution Ltd </v>
      </c>
      <c r="B91" s="145" t="s">
        <v>53</v>
      </c>
      <c r="C91" s="146">
        <v>2014</v>
      </c>
      <c r="D91" s="146">
        <v>6</v>
      </c>
      <c r="E91" s="147">
        <v>123.7242</v>
      </c>
      <c r="F91" s="182"/>
    </row>
    <row r="92" spans="1:6" s="82" customFormat="1" x14ac:dyDescent="0.3">
      <c r="A92" s="138" t="str">
        <f>Checklist!$C$1</f>
        <v xml:space="preserve">Newmarket - Tay Power Distribution Ltd </v>
      </c>
      <c r="B92" s="145" t="s">
        <v>53</v>
      </c>
      <c r="C92" s="146">
        <v>2014</v>
      </c>
      <c r="D92" s="146">
        <v>7</v>
      </c>
      <c r="E92" s="147">
        <v>131.15079999999998</v>
      </c>
      <c r="F92" s="182"/>
    </row>
    <row r="93" spans="1:6" s="82" customFormat="1" x14ac:dyDescent="0.3">
      <c r="A93" s="138" t="str">
        <f>Checklist!$C$1</f>
        <v xml:space="preserve">Newmarket - Tay Power Distribution Ltd </v>
      </c>
      <c r="B93" s="145" t="s">
        <v>53</v>
      </c>
      <c r="C93" s="146">
        <v>2014</v>
      </c>
      <c r="D93" s="146">
        <v>8</v>
      </c>
      <c r="E93" s="147">
        <v>131.9716</v>
      </c>
      <c r="F93" s="182"/>
    </row>
    <row r="94" spans="1:6" s="82" customFormat="1" x14ac:dyDescent="0.3">
      <c r="A94" s="138" t="str">
        <f>Checklist!$C$1</f>
        <v xml:space="preserve">Newmarket - Tay Power Distribution Ltd </v>
      </c>
      <c r="B94" s="145" t="s">
        <v>53</v>
      </c>
      <c r="C94" s="146">
        <v>2014</v>
      </c>
      <c r="D94" s="146">
        <v>9</v>
      </c>
      <c r="E94" s="147">
        <v>132.94800000000001</v>
      </c>
      <c r="F94" s="182"/>
    </row>
    <row r="95" spans="1:6" s="82" customFormat="1" x14ac:dyDescent="0.3">
      <c r="A95" s="138" t="str">
        <f>Checklist!$C$1</f>
        <v xml:space="preserve">Newmarket - Tay Power Distribution Ltd </v>
      </c>
      <c r="B95" s="145" t="s">
        <v>53</v>
      </c>
      <c r="C95" s="146">
        <v>2014</v>
      </c>
      <c r="D95" s="146">
        <v>10</v>
      </c>
      <c r="E95" s="147">
        <v>89.64</v>
      </c>
      <c r="F95" s="182"/>
    </row>
    <row r="96" spans="1:6" s="82" customFormat="1" x14ac:dyDescent="0.3">
      <c r="A96" s="138" t="str">
        <f>Checklist!$C$1</f>
        <v xml:space="preserve">Newmarket - Tay Power Distribution Ltd </v>
      </c>
      <c r="B96" s="145" t="s">
        <v>53</v>
      </c>
      <c r="C96" s="146">
        <v>2014</v>
      </c>
      <c r="D96" s="146">
        <v>11</v>
      </c>
      <c r="E96" s="147">
        <v>105.5492</v>
      </c>
      <c r="F96" s="182"/>
    </row>
    <row r="97" spans="1:6" s="82" customFormat="1" x14ac:dyDescent="0.3">
      <c r="A97" s="138" t="str">
        <f>Checklist!$C$1</f>
        <v xml:space="preserve">Newmarket - Tay Power Distribution Ltd </v>
      </c>
      <c r="B97" s="145" t="s">
        <v>53</v>
      </c>
      <c r="C97" s="146">
        <v>2014</v>
      </c>
      <c r="D97" s="146">
        <v>12</v>
      </c>
      <c r="E97" s="147">
        <v>108.48960000000001</v>
      </c>
      <c r="F97" s="182"/>
    </row>
    <row r="98" spans="1:6" s="82" customFormat="1" x14ac:dyDescent="0.3">
      <c r="A98" s="138" t="str">
        <f>Checklist!$C$1</f>
        <v xml:space="preserve">Newmarket - Tay Power Distribution Ltd </v>
      </c>
      <c r="B98" s="145" t="s">
        <v>53</v>
      </c>
      <c r="C98" s="146">
        <v>2015</v>
      </c>
      <c r="D98" s="146">
        <v>1</v>
      </c>
      <c r="E98" s="147">
        <v>114.32939999999999</v>
      </c>
      <c r="F98" s="182"/>
    </row>
    <row r="99" spans="1:6" s="82" customFormat="1" x14ac:dyDescent="0.3">
      <c r="A99" s="138" t="str">
        <f>Checklist!$C$1</f>
        <v xml:space="preserve">Newmarket - Tay Power Distribution Ltd </v>
      </c>
      <c r="B99" s="145" t="s">
        <v>53</v>
      </c>
      <c r="C99" s="146">
        <v>2015</v>
      </c>
      <c r="D99" s="146">
        <v>2</v>
      </c>
      <c r="E99" s="147">
        <v>113.0086</v>
      </c>
      <c r="F99" s="182"/>
    </row>
    <row r="100" spans="1:6" s="82" customFormat="1" x14ac:dyDescent="0.3">
      <c r="A100" s="138" t="str">
        <f>Checklist!$C$1</f>
        <v xml:space="preserve">Newmarket - Tay Power Distribution Ltd </v>
      </c>
      <c r="B100" s="145" t="s">
        <v>53</v>
      </c>
      <c r="C100" s="146">
        <v>2015</v>
      </c>
      <c r="D100" s="146">
        <v>3</v>
      </c>
      <c r="E100" s="147">
        <v>105.93480000000001</v>
      </c>
      <c r="F100" s="182"/>
    </row>
    <row r="101" spans="1:6" s="82" customFormat="1" x14ac:dyDescent="0.3">
      <c r="A101" s="138" t="str">
        <f>Checklist!$C$1</f>
        <v xml:space="preserve">Newmarket - Tay Power Distribution Ltd </v>
      </c>
      <c r="B101" s="145" t="s">
        <v>53</v>
      </c>
      <c r="C101" s="146">
        <v>2015</v>
      </c>
      <c r="D101" s="146">
        <v>4</v>
      </c>
      <c r="E101" s="147">
        <v>90.792600000000007</v>
      </c>
      <c r="F101" s="183"/>
    </row>
    <row r="102" spans="1:6" x14ac:dyDescent="0.3">
      <c r="A102" s="138" t="str">
        <f>Checklist!$C$1</f>
        <v xml:space="preserve">Newmarket - Tay Power Distribution Ltd </v>
      </c>
      <c r="B102" s="145" t="s">
        <v>135</v>
      </c>
      <c r="C102" s="146">
        <v>2015</v>
      </c>
      <c r="D102" s="146">
        <v>5</v>
      </c>
      <c r="E102" s="147">
        <v>115.298</v>
      </c>
      <c r="F102" s="181">
        <f t="shared" ref="F102" si="4">AVERAGE(E102:E113)</f>
        <v>110.47786666666669</v>
      </c>
    </row>
    <row r="103" spans="1:6" x14ac:dyDescent="0.3">
      <c r="A103" s="138" t="str">
        <f>Checklist!$C$1</f>
        <v xml:space="preserve">Newmarket - Tay Power Distribution Ltd </v>
      </c>
      <c r="B103" s="145" t="s">
        <v>135</v>
      </c>
      <c r="C103" s="146">
        <v>2015</v>
      </c>
      <c r="D103" s="146">
        <v>6</v>
      </c>
      <c r="E103" s="147">
        <v>108.6276</v>
      </c>
      <c r="F103" s="182"/>
    </row>
    <row r="104" spans="1:6" x14ac:dyDescent="0.3">
      <c r="A104" s="138" t="str">
        <f>Checklist!$C$1</f>
        <v xml:space="preserve">Newmarket - Tay Power Distribution Ltd </v>
      </c>
      <c r="B104" s="145" t="s">
        <v>135</v>
      </c>
      <c r="C104" s="146">
        <v>2015</v>
      </c>
      <c r="D104" s="146">
        <v>7</v>
      </c>
      <c r="E104" s="147">
        <v>139.27979999999999</v>
      </c>
      <c r="F104" s="182"/>
    </row>
    <row r="105" spans="1:6" x14ac:dyDescent="0.3">
      <c r="A105" s="138" t="str">
        <f>Checklist!$C$1</f>
        <v xml:space="preserve">Newmarket - Tay Power Distribution Ltd </v>
      </c>
      <c r="B105" s="145" t="s">
        <v>135</v>
      </c>
      <c r="C105" s="146">
        <v>2015</v>
      </c>
      <c r="D105" s="146">
        <v>8</v>
      </c>
      <c r="E105" s="147">
        <v>138.70079999999999</v>
      </c>
      <c r="F105" s="182"/>
    </row>
    <row r="106" spans="1:6" x14ac:dyDescent="0.3">
      <c r="A106" s="138" t="str">
        <f>Checklist!$C$1</f>
        <v xml:space="preserve">Newmarket - Tay Power Distribution Ltd </v>
      </c>
      <c r="B106" s="145" t="s">
        <v>135</v>
      </c>
      <c r="C106" s="146">
        <v>2015</v>
      </c>
      <c r="D106" s="146">
        <v>9</v>
      </c>
      <c r="E106" s="147">
        <v>134.67140000000001</v>
      </c>
      <c r="F106" s="182"/>
    </row>
    <row r="107" spans="1:6" x14ac:dyDescent="0.3">
      <c r="A107" s="138" t="str">
        <f>Checklist!$C$1</f>
        <v xml:space="preserve">Newmarket - Tay Power Distribution Ltd </v>
      </c>
      <c r="B107" s="145" t="s">
        <v>135</v>
      </c>
      <c r="C107" s="146">
        <v>2015</v>
      </c>
      <c r="D107" s="146">
        <v>10</v>
      </c>
      <c r="E107" s="147">
        <v>87.597800000000007</v>
      </c>
      <c r="F107" s="182"/>
    </row>
    <row r="108" spans="1:6" x14ac:dyDescent="0.3">
      <c r="A108" s="138" t="str">
        <f>Checklist!$C$1</f>
        <v xml:space="preserve">Newmarket - Tay Power Distribution Ltd </v>
      </c>
      <c r="B108" s="145" t="s">
        <v>135</v>
      </c>
      <c r="C108" s="146">
        <v>2015</v>
      </c>
      <c r="D108" s="146">
        <v>11</v>
      </c>
      <c r="E108" s="147">
        <v>98.456399999999988</v>
      </c>
      <c r="F108" s="182"/>
    </row>
    <row r="109" spans="1:6" x14ac:dyDescent="0.3">
      <c r="A109" s="138" t="str">
        <f>Checklist!$C$1</f>
        <v xml:space="preserve">Newmarket - Tay Power Distribution Ltd </v>
      </c>
      <c r="B109" s="145" t="s">
        <v>135</v>
      </c>
      <c r="C109" s="146">
        <v>2015</v>
      </c>
      <c r="D109" s="146">
        <v>12</v>
      </c>
      <c r="E109" s="147">
        <v>97.892800000000008</v>
      </c>
      <c r="F109" s="182"/>
    </row>
    <row r="110" spans="1:6" x14ac:dyDescent="0.3">
      <c r="A110" s="138" t="str">
        <f>Checklist!$C$1</f>
        <v xml:space="preserve">Newmarket - Tay Power Distribution Ltd </v>
      </c>
      <c r="B110" s="145" t="s">
        <v>135</v>
      </c>
      <c r="C110" s="146">
        <v>2016</v>
      </c>
      <c r="D110" s="146">
        <v>1</v>
      </c>
      <c r="E110" s="147">
        <v>106.19439999999999</v>
      </c>
      <c r="F110" s="182"/>
    </row>
    <row r="111" spans="1:6" x14ac:dyDescent="0.3">
      <c r="A111" s="138" t="str">
        <f>Checklist!$C$1</f>
        <v xml:space="preserve">Newmarket - Tay Power Distribution Ltd </v>
      </c>
      <c r="B111" s="145" t="s">
        <v>135</v>
      </c>
      <c r="C111" s="146">
        <v>2016</v>
      </c>
      <c r="D111" s="146">
        <v>2</v>
      </c>
      <c r="E111" s="147">
        <v>106.324</v>
      </c>
      <c r="F111" s="182"/>
    </row>
    <row r="112" spans="1:6" x14ac:dyDescent="0.3">
      <c r="A112" s="138" t="str">
        <f>Checklist!$C$1</f>
        <v xml:space="preserve">Newmarket - Tay Power Distribution Ltd </v>
      </c>
      <c r="B112" s="145" t="s">
        <v>135</v>
      </c>
      <c r="C112" s="146">
        <v>2016</v>
      </c>
      <c r="D112" s="146">
        <v>3</v>
      </c>
      <c r="E112" s="147">
        <v>101.8266</v>
      </c>
      <c r="F112" s="182"/>
    </row>
    <row r="113" spans="1:6" x14ac:dyDescent="0.3">
      <c r="A113" s="138" t="str">
        <f>Checklist!$C$1</f>
        <v xml:space="preserve">Newmarket - Tay Power Distribution Ltd </v>
      </c>
      <c r="B113" s="145" t="s">
        <v>135</v>
      </c>
      <c r="C113" s="146">
        <v>2016</v>
      </c>
      <c r="D113" s="146">
        <v>4</v>
      </c>
      <c r="E113" s="147">
        <v>90.864800000000002</v>
      </c>
      <c r="F113" s="183"/>
    </row>
    <row r="114" spans="1:6" x14ac:dyDescent="0.3">
      <c r="A114" s="138" t="str">
        <f>Checklist!$C$1</f>
        <v xml:space="preserve">Newmarket - Tay Power Distribution Ltd </v>
      </c>
      <c r="B114" s="145" t="s">
        <v>136</v>
      </c>
      <c r="C114" s="146">
        <v>2016</v>
      </c>
      <c r="D114" s="146">
        <v>5</v>
      </c>
      <c r="E114" s="147">
        <v>116.99639999999999</v>
      </c>
      <c r="F114" s="181">
        <f t="shared" ref="F114" si="5">AVERAGE(E114:E125)</f>
        <v>113.23719999999999</v>
      </c>
    </row>
    <row r="115" spans="1:6" x14ac:dyDescent="0.3">
      <c r="A115" s="138" t="str">
        <f>Checklist!$C$1</f>
        <v xml:space="preserve">Newmarket - Tay Power Distribution Ltd </v>
      </c>
      <c r="B115" s="145" t="s">
        <v>136</v>
      </c>
      <c r="C115" s="146">
        <v>2016</v>
      </c>
      <c r="D115" s="146">
        <v>6</v>
      </c>
      <c r="E115" s="147">
        <v>136.80500000000001</v>
      </c>
      <c r="F115" s="182"/>
    </row>
    <row r="116" spans="1:6" x14ac:dyDescent="0.3">
      <c r="A116" s="138" t="str">
        <f>Checklist!$C$1</f>
        <v xml:space="preserve">Newmarket - Tay Power Distribution Ltd </v>
      </c>
      <c r="B116" s="145" t="s">
        <v>136</v>
      </c>
      <c r="C116" s="146">
        <v>2016</v>
      </c>
      <c r="D116" s="146">
        <v>7</v>
      </c>
      <c r="E116" s="147">
        <v>139.94239999999999</v>
      </c>
      <c r="F116" s="182"/>
    </row>
    <row r="117" spans="1:6" x14ac:dyDescent="0.3">
      <c r="A117" s="138" t="str">
        <f>Checklist!$C$1</f>
        <v xml:space="preserve">Newmarket - Tay Power Distribution Ltd </v>
      </c>
      <c r="B117" s="145" t="s">
        <v>136</v>
      </c>
      <c r="C117" s="146">
        <v>2016</v>
      </c>
      <c r="D117" s="146">
        <v>8</v>
      </c>
      <c r="E117" s="147">
        <v>142.65879999999999</v>
      </c>
      <c r="F117" s="182"/>
    </row>
    <row r="118" spans="1:6" x14ac:dyDescent="0.3">
      <c r="A118" s="138" t="str">
        <f>Checklist!$C$1</f>
        <v xml:space="preserve">Newmarket - Tay Power Distribution Ltd </v>
      </c>
      <c r="B118" s="145" t="s">
        <v>136</v>
      </c>
      <c r="C118" s="146">
        <v>2016</v>
      </c>
      <c r="D118" s="146">
        <v>9</v>
      </c>
      <c r="E118" s="147">
        <v>143.58160000000001</v>
      </c>
      <c r="F118" s="182"/>
    </row>
    <row r="119" spans="1:6" x14ac:dyDescent="0.3">
      <c r="A119" s="138" t="str">
        <f>Checklist!$C$1</f>
        <v xml:space="preserve">Newmarket - Tay Power Distribution Ltd </v>
      </c>
      <c r="B119" s="145" t="s">
        <v>136</v>
      </c>
      <c r="C119" s="146">
        <v>2016</v>
      </c>
      <c r="D119" s="146">
        <v>10</v>
      </c>
      <c r="E119" s="147">
        <v>89.724999999999994</v>
      </c>
      <c r="F119" s="182"/>
    </row>
    <row r="120" spans="1:6" x14ac:dyDescent="0.3">
      <c r="A120" s="138" t="str">
        <f>Checklist!$C$1</f>
        <v xml:space="preserve">Newmarket - Tay Power Distribution Ltd </v>
      </c>
      <c r="B120" s="145" t="s">
        <v>136</v>
      </c>
      <c r="C120" s="146">
        <v>2016</v>
      </c>
      <c r="D120" s="146">
        <v>11</v>
      </c>
      <c r="E120" s="147">
        <v>99.296199999999999</v>
      </c>
      <c r="F120" s="182"/>
    </row>
    <row r="121" spans="1:6" x14ac:dyDescent="0.3">
      <c r="A121" s="138" t="str">
        <f>Checklist!$C$1</f>
        <v xml:space="preserve">Newmarket - Tay Power Distribution Ltd </v>
      </c>
      <c r="B121" s="145" t="s">
        <v>136</v>
      </c>
      <c r="C121" s="146">
        <v>2016</v>
      </c>
      <c r="D121" s="146">
        <v>12</v>
      </c>
      <c r="E121" s="147">
        <v>105.75019999999999</v>
      </c>
      <c r="F121" s="182"/>
    </row>
    <row r="122" spans="1:6" x14ac:dyDescent="0.3">
      <c r="A122" s="138" t="str">
        <f>Checklist!$C$1</f>
        <v xml:space="preserve">Newmarket - Tay Power Distribution Ltd </v>
      </c>
      <c r="B122" s="145" t="s">
        <v>136</v>
      </c>
      <c r="C122" s="146">
        <v>2017</v>
      </c>
      <c r="D122" s="146">
        <v>1</v>
      </c>
      <c r="E122" s="147">
        <v>102.86</v>
      </c>
      <c r="F122" s="182"/>
    </row>
    <row r="123" spans="1:6" x14ac:dyDescent="0.3">
      <c r="A123" s="138" t="str">
        <f>Checklist!$C$1</f>
        <v xml:space="preserve">Newmarket - Tay Power Distribution Ltd </v>
      </c>
      <c r="B123" s="145" t="s">
        <v>136</v>
      </c>
      <c r="C123" s="146">
        <v>2017</v>
      </c>
      <c r="D123" s="146">
        <v>2</v>
      </c>
      <c r="E123" s="147">
        <v>98.034999999999997</v>
      </c>
      <c r="F123" s="182"/>
    </row>
    <row r="124" spans="1:6" x14ac:dyDescent="0.3">
      <c r="A124" s="138" t="str">
        <f>Checklist!$C$1</f>
        <v xml:space="preserve">Newmarket - Tay Power Distribution Ltd </v>
      </c>
      <c r="B124" s="145" t="s">
        <v>136</v>
      </c>
      <c r="C124" s="146">
        <v>2017</v>
      </c>
      <c r="D124" s="146">
        <v>3</v>
      </c>
      <c r="E124" s="147">
        <v>95.935000000000002</v>
      </c>
      <c r="F124" s="182"/>
    </row>
    <row r="125" spans="1:6" x14ac:dyDescent="0.3">
      <c r="A125" s="138" t="str">
        <f>Checklist!$C$1</f>
        <v xml:space="preserve">Newmarket - Tay Power Distribution Ltd </v>
      </c>
      <c r="B125" s="145" t="s">
        <v>136</v>
      </c>
      <c r="C125" s="146">
        <v>2017</v>
      </c>
      <c r="D125" s="146">
        <v>4</v>
      </c>
      <c r="E125" s="147">
        <v>87.260800000000003</v>
      </c>
      <c r="F125" s="183"/>
    </row>
    <row r="126" spans="1:6" x14ac:dyDescent="0.3">
      <c r="A126" s="138" t="str">
        <f>Checklist!$C$1</f>
        <v xml:space="preserve">Newmarket - Tay Power Distribution Ltd </v>
      </c>
      <c r="B126" s="145" t="s">
        <v>141</v>
      </c>
      <c r="C126" s="146">
        <v>2017</v>
      </c>
      <c r="D126" s="146">
        <v>5</v>
      </c>
      <c r="E126" s="147">
        <v>102.12739999999999</v>
      </c>
      <c r="F126" s="181">
        <f t="shared" ref="F126" si="6">AVERAGE(E126:E137)</f>
        <v>107.44427999999999</v>
      </c>
    </row>
    <row r="127" spans="1:6" x14ac:dyDescent="0.3">
      <c r="A127" s="138" t="str">
        <f>Checklist!$C$1</f>
        <v xml:space="preserve">Newmarket - Tay Power Distribution Ltd </v>
      </c>
      <c r="B127" s="145" t="s">
        <v>141</v>
      </c>
      <c r="C127" s="146">
        <v>2017</v>
      </c>
      <c r="D127" s="146">
        <v>6</v>
      </c>
      <c r="E127" s="147">
        <v>127.01339999999999</v>
      </c>
      <c r="F127" s="182"/>
    </row>
    <row r="128" spans="1:6" x14ac:dyDescent="0.3">
      <c r="A128" s="138" t="str">
        <f>Checklist!$C$1</f>
        <v xml:space="preserve">Newmarket - Tay Power Distribution Ltd </v>
      </c>
      <c r="B128" s="145" t="s">
        <v>141</v>
      </c>
      <c r="C128" s="146">
        <v>2017</v>
      </c>
      <c r="D128" s="146">
        <v>7</v>
      </c>
      <c r="E128" s="147">
        <v>124.7462</v>
      </c>
      <c r="F128" s="182"/>
    </row>
    <row r="129" spans="1:6" x14ac:dyDescent="0.3">
      <c r="A129" s="138" t="str">
        <f>Checklist!$C$1</f>
        <v xml:space="preserve">Newmarket - Tay Power Distribution Ltd </v>
      </c>
      <c r="B129" s="145" t="s">
        <v>141</v>
      </c>
      <c r="C129" s="146">
        <v>2017</v>
      </c>
      <c r="D129" s="146">
        <v>8</v>
      </c>
      <c r="E129" s="147">
        <v>124.1802</v>
      </c>
      <c r="F129" s="182"/>
    </row>
    <row r="130" spans="1:6" x14ac:dyDescent="0.3">
      <c r="A130" s="138" t="str">
        <f>Checklist!$C$1</f>
        <v xml:space="preserve">Newmarket - Tay Power Distribution Ltd </v>
      </c>
      <c r="B130" s="145" t="s">
        <v>141</v>
      </c>
      <c r="C130" s="146">
        <v>2017</v>
      </c>
      <c r="D130" s="146">
        <v>9</v>
      </c>
      <c r="E130" s="147">
        <v>132.74939999999998</v>
      </c>
      <c r="F130" s="182"/>
    </row>
    <row r="131" spans="1:6" x14ac:dyDescent="0.3">
      <c r="A131" s="138" t="str">
        <f>Checklist!$C$1</f>
        <v xml:space="preserve">Newmarket - Tay Power Distribution Ltd </v>
      </c>
      <c r="B131" s="145" t="s">
        <v>141</v>
      </c>
      <c r="C131" s="146">
        <v>2017</v>
      </c>
      <c r="D131" s="146">
        <v>10</v>
      </c>
      <c r="E131" s="147">
        <v>86.36460000000001</v>
      </c>
      <c r="F131" s="182"/>
    </row>
    <row r="132" spans="1:6" x14ac:dyDescent="0.3">
      <c r="A132" s="138" t="str">
        <f>Checklist!$C$1</f>
        <v xml:space="preserve">Newmarket - Tay Power Distribution Ltd </v>
      </c>
      <c r="B132" s="145" t="s">
        <v>141</v>
      </c>
      <c r="C132" s="146">
        <v>2017</v>
      </c>
      <c r="D132" s="146">
        <v>11</v>
      </c>
      <c r="E132" s="147">
        <v>95.667559999999995</v>
      </c>
      <c r="F132" s="182"/>
    </row>
    <row r="133" spans="1:6" x14ac:dyDescent="0.3">
      <c r="A133" s="138" t="str">
        <f>Checklist!$C$1</f>
        <v xml:space="preserve">Newmarket - Tay Power Distribution Ltd </v>
      </c>
      <c r="B133" s="145" t="s">
        <v>141</v>
      </c>
      <c r="C133" s="146">
        <v>2017</v>
      </c>
      <c r="D133" s="146">
        <v>12</v>
      </c>
      <c r="E133" s="147">
        <v>103.20152</v>
      </c>
      <c r="F133" s="182"/>
    </row>
    <row r="134" spans="1:6" x14ac:dyDescent="0.3">
      <c r="A134" s="138" t="str">
        <f>Checklist!$C$1</f>
        <v xml:space="preserve">Newmarket - Tay Power Distribution Ltd </v>
      </c>
      <c r="B134" s="145" t="s">
        <v>141</v>
      </c>
      <c r="C134" s="146">
        <v>2018</v>
      </c>
      <c r="D134" s="146">
        <v>1</v>
      </c>
      <c r="E134" s="147">
        <v>109.84656</v>
      </c>
      <c r="F134" s="182"/>
    </row>
    <row r="135" spans="1:6" x14ac:dyDescent="0.3">
      <c r="A135" s="138" t="str">
        <f>Checklist!$C$1</f>
        <v xml:space="preserve">Newmarket - Tay Power Distribution Ltd </v>
      </c>
      <c r="B135" s="145" t="s">
        <v>141</v>
      </c>
      <c r="C135" s="146">
        <v>2018</v>
      </c>
      <c r="D135" s="146">
        <v>2</v>
      </c>
      <c r="E135" s="147">
        <v>99.799360000000007</v>
      </c>
      <c r="F135" s="182"/>
    </row>
    <row r="136" spans="1:6" x14ac:dyDescent="0.3">
      <c r="A136" s="138" t="str">
        <f>Checklist!$C$1</f>
        <v xml:space="preserve">Newmarket - Tay Power Distribution Ltd </v>
      </c>
      <c r="B136" s="145" t="s">
        <v>141</v>
      </c>
      <c r="C136" s="146">
        <v>2018</v>
      </c>
      <c r="D136" s="146">
        <v>3</v>
      </c>
      <c r="E136" s="147">
        <v>92.001639999999995</v>
      </c>
      <c r="F136" s="182"/>
    </row>
    <row r="137" spans="1:6" x14ac:dyDescent="0.3">
      <c r="A137" s="138" t="str">
        <f>Checklist!$C$1</f>
        <v xml:space="preserve">Newmarket - Tay Power Distribution Ltd </v>
      </c>
      <c r="B137" s="145" t="s">
        <v>141</v>
      </c>
      <c r="C137" s="146">
        <v>2018</v>
      </c>
      <c r="D137" s="146">
        <v>4</v>
      </c>
      <c r="E137" s="147">
        <v>91.633520000000004</v>
      </c>
      <c r="F137" s="183"/>
    </row>
    <row r="138" spans="1:6" x14ac:dyDescent="0.3">
      <c r="A138" s="138" t="str">
        <f>Checklist!$C$1</f>
        <v xml:space="preserve">Newmarket - Tay Power Distribution Ltd </v>
      </c>
      <c r="B138" s="145" t="s">
        <v>138</v>
      </c>
      <c r="C138" s="146">
        <v>2018</v>
      </c>
      <c r="D138" s="146">
        <v>5</v>
      </c>
      <c r="E138" s="147">
        <v>127.62528</v>
      </c>
      <c r="F138" s="181">
        <f>AVERAGE(E138:E149)</f>
        <v>115.54442666666667</v>
      </c>
    </row>
    <row r="139" spans="1:6" x14ac:dyDescent="0.3">
      <c r="A139" s="138" t="str">
        <f>Checklist!$C$1</f>
        <v xml:space="preserve">Newmarket - Tay Power Distribution Ltd </v>
      </c>
      <c r="B139" s="145" t="s">
        <v>138</v>
      </c>
      <c r="C139" s="146">
        <v>2018</v>
      </c>
      <c r="D139" s="146">
        <v>6</v>
      </c>
      <c r="E139" s="147">
        <v>135.23776000000001</v>
      </c>
      <c r="F139" s="182"/>
    </row>
    <row r="140" spans="1:6" x14ac:dyDescent="0.3">
      <c r="A140" s="138" t="str">
        <f>Checklist!$C$1</f>
        <v xml:space="preserve">Newmarket - Tay Power Distribution Ltd </v>
      </c>
      <c r="B140" s="145" t="s">
        <v>138</v>
      </c>
      <c r="C140" s="146">
        <v>2018</v>
      </c>
      <c r="D140" s="146">
        <v>7</v>
      </c>
      <c r="E140" s="147">
        <v>146.24904000000001</v>
      </c>
      <c r="F140" s="182"/>
    </row>
    <row r="141" spans="1:6" x14ac:dyDescent="0.3">
      <c r="A141" s="138" t="str">
        <f>Checklist!$C$1</f>
        <v xml:space="preserve">Newmarket - Tay Power Distribution Ltd </v>
      </c>
      <c r="B141" s="145" t="s">
        <v>138</v>
      </c>
      <c r="C141" s="146">
        <v>2018</v>
      </c>
      <c r="D141" s="146">
        <v>8</v>
      </c>
      <c r="E141" s="147">
        <v>134.84523999999999</v>
      </c>
      <c r="F141" s="182"/>
    </row>
    <row r="142" spans="1:6" x14ac:dyDescent="0.3">
      <c r="A142" s="138" t="str">
        <f>Checklist!$C$1</f>
        <v xml:space="preserve">Newmarket - Tay Power Distribution Ltd </v>
      </c>
      <c r="B142" s="145" t="s">
        <v>138</v>
      </c>
      <c r="C142" s="146">
        <v>2018</v>
      </c>
      <c r="D142" s="146">
        <v>9</v>
      </c>
      <c r="E142" s="147">
        <v>148.13676000000001</v>
      </c>
      <c r="F142" s="182"/>
    </row>
    <row r="143" spans="1:6" x14ac:dyDescent="0.3">
      <c r="A143" s="138" t="str">
        <f>Checklist!$C$1</f>
        <v xml:space="preserve">Newmarket - Tay Power Distribution Ltd </v>
      </c>
      <c r="B143" s="145" t="s">
        <v>138</v>
      </c>
      <c r="C143" s="146">
        <v>2018</v>
      </c>
      <c r="D143" s="146">
        <v>10</v>
      </c>
      <c r="E143" s="147">
        <v>97.005440000000007</v>
      </c>
      <c r="F143" s="182"/>
    </row>
    <row r="144" spans="1:6" x14ac:dyDescent="0.3">
      <c r="A144" s="138" t="str">
        <f>Checklist!$C$1</f>
        <v xml:space="preserve">Newmarket - Tay Power Distribution Ltd </v>
      </c>
      <c r="B144" s="145" t="s">
        <v>138</v>
      </c>
      <c r="C144" s="146">
        <v>2018</v>
      </c>
      <c r="D144" s="146">
        <v>11</v>
      </c>
      <c r="E144" s="147">
        <v>100.4148</v>
      </c>
      <c r="F144" s="182"/>
    </row>
    <row r="145" spans="1:6" x14ac:dyDescent="0.3">
      <c r="A145" s="138" t="str">
        <f>Checklist!$C$1</f>
        <v xml:space="preserve">Newmarket - Tay Power Distribution Ltd </v>
      </c>
      <c r="B145" s="145" t="s">
        <v>138</v>
      </c>
      <c r="C145" s="146">
        <v>2018</v>
      </c>
      <c r="D145" s="146">
        <v>12</v>
      </c>
      <c r="E145" s="147">
        <v>99.590399999999988</v>
      </c>
      <c r="F145" s="182"/>
    </row>
    <row r="146" spans="1:6" x14ac:dyDescent="0.3">
      <c r="A146" s="138" t="str">
        <f>Checklist!$C$1</f>
        <v xml:space="preserve">Newmarket - Tay Power Distribution Ltd </v>
      </c>
      <c r="B146" s="145" t="s">
        <v>138</v>
      </c>
      <c r="C146" s="146">
        <v>2019</v>
      </c>
      <c r="D146" s="146">
        <v>1</v>
      </c>
      <c r="E146" s="147">
        <v>109.30160000000001</v>
      </c>
      <c r="F146" s="182"/>
    </row>
    <row r="147" spans="1:6" x14ac:dyDescent="0.3">
      <c r="A147" s="138" t="str">
        <f>Checklist!$C$1</f>
        <v xml:space="preserve">Newmarket - Tay Power Distribution Ltd </v>
      </c>
      <c r="B147" s="145" t="s">
        <v>138</v>
      </c>
      <c r="C147" s="146">
        <v>2019</v>
      </c>
      <c r="D147" s="146">
        <v>2</v>
      </c>
      <c r="E147" s="147">
        <v>101.00072</v>
      </c>
      <c r="F147" s="182"/>
    </row>
    <row r="148" spans="1:6" x14ac:dyDescent="0.3">
      <c r="A148" s="138" t="str">
        <f>Checklist!$C$1</f>
        <v xml:space="preserve">Newmarket - Tay Power Distribution Ltd </v>
      </c>
      <c r="B148" s="145" t="s">
        <v>138</v>
      </c>
      <c r="C148" s="146">
        <v>2019</v>
      </c>
      <c r="D148" s="146">
        <v>3</v>
      </c>
      <c r="E148" s="147">
        <v>100.21588</v>
      </c>
      <c r="F148" s="182"/>
    </row>
    <row r="149" spans="1:6" x14ac:dyDescent="0.3">
      <c r="A149" s="138" t="str">
        <f>Checklist!$C$1</f>
        <v xml:space="preserve">Newmarket - Tay Power Distribution Ltd </v>
      </c>
      <c r="B149" s="145" t="s">
        <v>138</v>
      </c>
      <c r="C149" s="146">
        <v>2019</v>
      </c>
      <c r="D149" s="146">
        <v>4</v>
      </c>
      <c r="E149" s="147">
        <v>86.910200000000003</v>
      </c>
      <c r="F149" s="183"/>
    </row>
    <row r="150" spans="1:6" x14ac:dyDescent="0.3">
      <c r="A150" s="138" t="str">
        <f>Checklist!$C$1</f>
        <v xml:space="preserve">Newmarket - Tay Power Distribution Ltd </v>
      </c>
      <c r="B150" s="145" t="s">
        <v>187</v>
      </c>
      <c r="C150" s="146">
        <v>2020</v>
      </c>
      <c r="D150" s="146">
        <v>5</v>
      </c>
      <c r="E150" s="147">
        <v>82.27188000000001</v>
      </c>
      <c r="F150" s="181">
        <f t="shared" ref="F150" si="7">AVERAGE(E150:E161)</f>
        <v>102.91042333333333</v>
      </c>
    </row>
    <row r="151" spans="1:6" x14ac:dyDescent="0.3">
      <c r="A151" s="138" t="str">
        <f>Checklist!$C$1</f>
        <v xml:space="preserve">Newmarket - Tay Power Distribution Ltd </v>
      </c>
      <c r="B151" s="145" t="s">
        <v>187</v>
      </c>
      <c r="C151" s="146">
        <v>2020</v>
      </c>
      <c r="D151" s="146">
        <v>6</v>
      </c>
      <c r="E151" s="147">
        <v>119.81392</v>
      </c>
      <c r="F151" s="182"/>
    </row>
    <row r="152" spans="1:6" x14ac:dyDescent="0.3">
      <c r="A152" s="138" t="str">
        <f>Checklist!$C$1</f>
        <v xml:space="preserve">Newmarket - Tay Power Distribution Ltd </v>
      </c>
      <c r="B152" s="145" t="s">
        <v>187</v>
      </c>
      <c r="C152" s="146">
        <v>2020</v>
      </c>
      <c r="D152" s="146">
        <v>7</v>
      </c>
      <c r="E152" s="147">
        <v>138.28635999999997</v>
      </c>
      <c r="F152" s="182"/>
    </row>
    <row r="153" spans="1:6" x14ac:dyDescent="0.3">
      <c r="A153" s="138" t="str">
        <f>Checklist!$C$1</f>
        <v xml:space="preserve">Newmarket - Tay Power Distribution Ltd </v>
      </c>
      <c r="B153" s="145" t="s">
        <v>187</v>
      </c>
      <c r="C153" s="146">
        <v>2020</v>
      </c>
      <c r="D153" s="146">
        <v>8</v>
      </c>
      <c r="E153" s="147">
        <v>123.60875999999999</v>
      </c>
      <c r="F153" s="182"/>
    </row>
    <row r="154" spans="1:6" x14ac:dyDescent="0.3">
      <c r="A154" s="138" t="str">
        <f>Checklist!$C$1</f>
        <v xml:space="preserve">Newmarket - Tay Power Distribution Ltd </v>
      </c>
      <c r="B154" s="145" t="s">
        <v>187</v>
      </c>
      <c r="C154" s="146">
        <v>2020</v>
      </c>
      <c r="D154" s="146">
        <v>9</v>
      </c>
      <c r="E154" s="147">
        <v>108.04156</v>
      </c>
      <c r="F154" s="182"/>
    </row>
    <row r="155" spans="1:6" x14ac:dyDescent="0.3">
      <c r="A155" s="138" t="str">
        <f>Checklist!$C$1</f>
        <v xml:space="preserve">Newmarket - Tay Power Distribution Ltd </v>
      </c>
      <c r="B155" s="145" t="s">
        <v>187</v>
      </c>
      <c r="C155" s="146">
        <v>2020</v>
      </c>
      <c r="D155" s="146">
        <v>10</v>
      </c>
      <c r="E155" s="147">
        <v>95.178640000000001</v>
      </c>
      <c r="F155" s="182"/>
    </row>
    <row r="156" spans="1:6" x14ac:dyDescent="0.3">
      <c r="A156" s="138" t="str">
        <f>Checklist!$C$1</f>
        <v xml:space="preserve">Newmarket - Tay Power Distribution Ltd </v>
      </c>
      <c r="B156" s="145" t="s">
        <v>187</v>
      </c>
      <c r="C156" s="146">
        <v>2020</v>
      </c>
      <c r="D156" s="146">
        <v>11</v>
      </c>
      <c r="E156" s="147">
        <v>97.524960000000007</v>
      </c>
      <c r="F156" s="182"/>
    </row>
    <row r="157" spans="1:6" x14ac:dyDescent="0.3">
      <c r="A157" s="138" t="str">
        <f>Checklist!$C$1</f>
        <v xml:space="preserve">Newmarket - Tay Power Distribution Ltd </v>
      </c>
      <c r="B157" s="145" t="s">
        <v>187</v>
      </c>
      <c r="C157" s="146">
        <v>2020</v>
      </c>
      <c r="D157" s="146">
        <v>12</v>
      </c>
      <c r="E157" s="147">
        <v>104.16567999999999</v>
      </c>
      <c r="F157" s="182"/>
    </row>
    <row r="158" spans="1:6" x14ac:dyDescent="0.3">
      <c r="A158" s="138" t="str">
        <f>Checklist!$C$1</f>
        <v xml:space="preserve">Newmarket - Tay Power Distribution Ltd </v>
      </c>
      <c r="B158" s="145" t="s">
        <v>187</v>
      </c>
      <c r="C158" s="146">
        <v>2020</v>
      </c>
      <c r="D158" s="146">
        <v>1</v>
      </c>
      <c r="E158" s="147">
        <v>99.181880000000007</v>
      </c>
      <c r="F158" s="182"/>
    </row>
    <row r="159" spans="1:6" x14ac:dyDescent="0.3">
      <c r="A159" s="138" t="str">
        <f>Checklist!$C$1</f>
        <v xml:space="preserve">Newmarket - Tay Power Distribution Ltd </v>
      </c>
      <c r="B159" s="145" t="s">
        <v>187</v>
      </c>
      <c r="C159" s="146">
        <v>2020</v>
      </c>
      <c r="D159" s="146">
        <v>2</v>
      </c>
      <c r="E159" s="147">
        <v>98.145880000000005</v>
      </c>
      <c r="F159" s="182"/>
    </row>
    <row r="160" spans="1:6" x14ac:dyDescent="0.3">
      <c r="A160" s="138" t="str">
        <f>Checklist!$C$1</f>
        <v xml:space="preserve">Newmarket - Tay Power Distribution Ltd </v>
      </c>
      <c r="B160" s="145" t="s">
        <v>187</v>
      </c>
      <c r="C160" s="146">
        <v>2020</v>
      </c>
      <c r="D160" s="146">
        <v>3</v>
      </c>
      <c r="E160" s="147">
        <v>91.030240000000006</v>
      </c>
      <c r="F160" s="182"/>
    </row>
    <row r="161" spans="1:6" x14ac:dyDescent="0.3">
      <c r="A161" s="138" t="str">
        <f>Checklist!$C$1</f>
        <v xml:space="preserve">Newmarket - Tay Power Distribution Ltd </v>
      </c>
      <c r="B161" s="145" t="s">
        <v>187</v>
      </c>
      <c r="C161" s="146">
        <v>2020</v>
      </c>
      <c r="D161" s="146">
        <v>4</v>
      </c>
      <c r="E161" s="147">
        <v>77.675320000000013</v>
      </c>
      <c r="F161" s="183"/>
    </row>
  </sheetData>
  <mergeCells count="13">
    <mergeCell ref="F66:F77"/>
    <mergeCell ref="F78:F89"/>
    <mergeCell ref="F90:F101"/>
    <mergeCell ref="A2:T3"/>
    <mergeCell ref="F18:F29"/>
    <mergeCell ref="F30:F41"/>
    <mergeCell ref="F42:F53"/>
    <mergeCell ref="F54:F65"/>
    <mergeCell ref="F150:F161"/>
    <mergeCell ref="F102:F113"/>
    <mergeCell ref="F114:F125"/>
    <mergeCell ref="F126:F137"/>
    <mergeCell ref="F138:F149"/>
  </mergeCells>
  <pageMargins left="0.7" right="0.7" top="0.75" bottom="0.75" header="0.3" footer="0.3"/>
  <pageSetup paperSize="0" orientation="portrait" horizontalDpi="0" verticalDpi="0" copies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S37"/>
  <sheetViews>
    <sheetView workbookViewId="0">
      <selection activeCell="F23" sqref="F23"/>
    </sheetView>
  </sheetViews>
  <sheetFormatPr defaultRowHeight="14.4" x14ac:dyDescent="0.3"/>
  <cols>
    <col min="1" max="2" width="11.5546875" customWidth="1"/>
    <col min="3" max="3" width="11.109375" customWidth="1"/>
    <col min="4" max="5" width="13.44140625" customWidth="1"/>
    <col min="6" max="6" width="14.109375" customWidth="1"/>
    <col min="7" max="7" width="13.5546875" customWidth="1"/>
    <col min="8" max="10" width="13.5546875" style="124" customWidth="1"/>
    <col min="11" max="14" width="13.5546875" style="80" customWidth="1"/>
    <col min="15" max="15" width="13.5546875" style="124" customWidth="1"/>
  </cols>
  <sheetData>
    <row r="1" spans="1:19" ht="28.8" x14ac:dyDescent="0.55000000000000004">
      <c r="A1" s="4" t="s">
        <v>36</v>
      </c>
    </row>
    <row r="2" spans="1:19" ht="15.6" x14ac:dyDescent="0.3">
      <c r="A2" s="28" t="s">
        <v>40</v>
      </c>
    </row>
    <row r="3" spans="1:19" ht="15.6" x14ac:dyDescent="0.3">
      <c r="A3" s="28"/>
    </row>
    <row r="4" spans="1:19" ht="15.6" x14ac:dyDescent="0.3">
      <c r="A4" s="28"/>
    </row>
    <row r="5" spans="1:19" ht="48" x14ac:dyDescent="0.3">
      <c r="A5" s="131" t="s">
        <v>33</v>
      </c>
      <c r="B5" s="131" t="s">
        <v>34</v>
      </c>
      <c r="C5" s="131" t="s">
        <v>35</v>
      </c>
      <c r="D5" s="132" t="s">
        <v>173</v>
      </c>
      <c r="E5" s="132" t="s">
        <v>172</v>
      </c>
      <c r="F5" s="132" t="s">
        <v>171</v>
      </c>
      <c r="G5" s="132" t="s">
        <v>174</v>
      </c>
      <c r="H5" s="132" t="s">
        <v>180</v>
      </c>
      <c r="I5" s="133" t="s">
        <v>181</v>
      </c>
      <c r="J5" s="134" t="s">
        <v>162</v>
      </c>
      <c r="K5" s="132" t="s">
        <v>176</v>
      </c>
      <c r="L5" s="132" t="s">
        <v>177</v>
      </c>
      <c r="M5" s="132" t="s">
        <v>178</v>
      </c>
      <c r="N5" s="132" t="s">
        <v>179</v>
      </c>
      <c r="O5" s="132" t="s">
        <v>182</v>
      </c>
    </row>
    <row r="6" spans="1:19" ht="15" customHeight="1" x14ac:dyDescent="0.3">
      <c r="A6" s="135">
        <v>2020</v>
      </c>
      <c r="B6" s="136">
        <v>43831</v>
      </c>
      <c r="C6" s="136">
        <v>44166</v>
      </c>
      <c r="D6" s="150">
        <v>77</v>
      </c>
      <c r="E6" s="137">
        <v>1.8</v>
      </c>
      <c r="F6" s="137">
        <v>0.35</v>
      </c>
      <c r="G6" s="125">
        <f t="shared" ref="G6:G20" si="0">D6+E6+F6</f>
        <v>79.149999999999991</v>
      </c>
      <c r="H6" s="125">
        <f t="shared" ref="H6:H20" si="1">G6*0.81</f>
        <v>64.111499999999992</v>
      </c>
      <c r="I6" s="125">
        <f t="shared" ref="I6:I20" si="2">140*0.81</f>
        <v>113.4</v>
      </c>
      <c r="J6" s="125">
        <f t="shared" ref="J6:J20" si="3">IF(I6-H6&gt;0,I6-H6,0)</f>
        <v>49.288500000000013</v>
      </c>
      <c r="K6" s="150">
        <v>63</v>
      </c>
      <c r="L6" s="137">
        <v>1.2</v>
      </c>
      <c r="M6" s="137">
        <v>0.35</v>
      </c>
      <c r="N6" s="125">
        <f t="shared" ref="N6:N20" si="4">K6+L6+M6</f>
        <v>64.55</v>
      </c>
      <c r="O6" s="125">
        <f t="shared" ref="O6:O20" si="5">N6*0.81</f>
        <v>52.285499999999999</v>
      </c>
    </row>
    <row r="7" spans="1:19" ht="15" customHeight="1" x14ac:dyDescent="0.3">
      <c r="A7" s="135">
        <v>2021</v>
      </c>
      <c r="B7" s="136">
        <v>44197</v>
      </c>
      <c r="C7" s="136">
        <v>44561</v>
      </c>
      <c r="D7" s="150">
        <v>77.599999999999994</v>
      </c>
      <c r="E7" s="137">
        <v>1.8</v>
      </c>
      <c r="F7" s="137">
        <v>0.35</v>
      </c>
      <c r="G7" s="125">
        <f t="shared" si="0"/>
        <v>79.749999999999986</v>
      </c>
      <c r="H7" s="125">
        <f t="shared" si="1"/>
        <v>64.597499999999997</v>
      </c>
      <c r="I7" s="125">
        <f t="shared" si="2"/>
        <v>113.4</v>
      </c>
      <c r="J7" s="125">
        <f t="shared" si="3"/>
        <v>48.802500000000009</v>
      </c>
      <c r="K7" s="150">
        <v>63.4</v>
      </c>
      <c r="L7" s="137">
        <v>1.2</v>
      </c>
      <c r="M7" s="137">
        <v>0.35</v>
      </c>
      <c r="N7" s="125">
        <f t="shared" si="4"/>
        <v>64.949999999999989</v>
      </c>
      <c r="O7" s="125">
        <f t="shared" si="5"/>
        <v>52.609499999999997</v>
      </c>
      <c r="Q7" s="154"/>
      <c r="R7" s="153"/>
      <c r="S7" s="154"/>
    </row>
    <row r="8" spans="1:19" ht="15" customHeight="1" x14ac:dyDescent="0.3">
      <c r="A8" s="135">
        <v>2022</v>
      </c>
      <c r="B8" s="136">
        <v>44562</v>
      </c>
      <c r="C8" s="136">
        <v>44926</v>
      </c>
      <c r="D8" s="150">
        <v>78.199999999999989</v>
      </c>
      <c r="E8" s="137">
        <v>1.8</v>
      </c>
      <c r="F8" s="137">
        <v>0.35</v>
      </c>
      <c r="G8" s="125">
        <f t="shared" si="0"/>
        <v>80.34999999999998</v>
      </c>
      <c r="H8" s="125">
        <f t="shared" si="1"/>
        <v>65.083499999999987</v>
      </c>
      <c r="I8" s="125">
        <f t="shared" si="2"/>
        <v>113.4</v>
      </c>
      <c r="J8" s="125">
        <f t="shared" si="3"/>
        <v>48.316500000000019</v>
      </c>
      <c r="K8" s="150">
        <v>63.8</v>
      </c>
      <c r="L8" s="137">
        <v>1.2</v>
      </c>
      <c r="M8" s="137">
        <v>0.35</v>
      </c>
      <c r="N8" s="125">
        <f t="shared" si="4"/>
        <v>65.349999999999994</v>
      </c>
      <c r="O8" s="125">
        <f t="shared" si="5"/>
        <v>52.933500000000002</v>
      </c>
      <c r="Q8" s="154"/>
      <c r="R8" s="153"/>
      <c r="S8" s="154"/>
    </row>
    <row r="9" spans="1:19" ht="15" customHeight="1" x14ac:dyDescent="0.3">
      <c r="A9" s="135">
        <v>2023</v>
      </c>
      <c r="B9" s="136">
        <v>44927</v>
      </c>
      <c r="C9" s="136">
        <v>45291</v>
      </c>
      <c r="D9" s="150">
        <v>78.799999999999983</v>
      </c>
      <c r="E9" s="137">
        <v>1.8</v>
      </c>
      <c r="F9" s="137">
        <v>0.35</v>
      </c>
      <c r="G9" s="125">
        <f t="shared" si="0"/>
        <v>80.949999999999974</v>
      </c>
      <c r="H9" s="125">
        <f t="shared" si="1"/>
        <v>65.569499999999977</v>
      </c>
      <c r="I9" s="125">
        <f t="shared" si="2"/>
        <v>113.4</v>
      </c>
      <c r="J9" s="125">
        <f t="shared" si="3"/>
        <v>47.830500000000029</v>
      </c>
      <c r="K9" s="150">
        <v>64.2</v>
      </c>
      <c r="L9" s="137">
        <v>1.2</v>
      </c>
      <c r="M9" s="137">
        <v>0.35</v>
      </c>
      <c r="N9" s="125">
        <f t="shared" si="4"/>
        <v>65.75</v>
      </c>
      <c r="O9" s="125">
        <f t="shared" si="5"/>
        <v>53.2575</v>
      </c>
      <c r="Q9" s="154"/>
      <c r="R9" s="153"/>
      <c r="S9" s="154"/>
    </row>
    <row r="10" spans="1:19" ht="15" customHeight="1" x14ac:dyDescent="0.3">
      <c r="A10" s="135">
        <v>2024</v>
      </c>
      <c r="B10" s="136">
        <v>45292</v>
      </c>
      <c r="C10" s="136">
        <v>45657</v>
      </c>
      <c r="D10" s="150">
        <v>79.399999999999977</v>
      </c>
      <c r="E10" s="137">
        <v>1.8</v>
      </c>
      <c r="F10" s="137">
        <v>0.35</v>
      </c>
      <c r="G10" s="125">
        <f t="shared" si="0"/>
        <v>81.549999999999969</v>
      </c>
      <c r="H10" s="125">
        <f t="shared" si="1"/>
        <v>66.055499999999981</v>
      </c>
      <c r="I10" s="125">
        <f t="shared" si="2"/>
        <v>113.4</v>
      </c>
      <c r="J10" s="125">
        <f t="shared" si="3"/>
        <v>47.344500000000025</v>
      </c>
      <c r="K10" s="150">
        <v>64.600000000000009</v>
      </c>
      <c r="L10" s="137">
        <v>1.2</v>
      </c>
      <c r="M10" s="137">
        <v>0.35</v>
      </c>
      <c r="N10" s="125">
        <f t="shared" si="4"/>
        <v>66.150000000000006</v>
      </c>
      <c r="O10" s="125">
        <f t="shared" si="5"/>
        <v>53.581500000000005</v>
      </c>
      <c r="Q10" s="154"/>
      <c r="R10" s="153"/>
      <c r="S10" s="154"/>
    </row>
    <row r="11" spans="1:19" ht="15" customHeight="1" x14ac:dyDescent="0.3">
      <c r="A11" s="135">
        <v>2025</v>
      </c>
      <c r="B11" s="136">
        <v>45658</v>
      </c>
      <c r="C11" s="136">
        <v>46022</v>
      </c>
      <c r="D11" s="150">
        <v>79.999999999999972</v>
      </c>
      <c r="E11" s="137">
        <v>1.8</v>
      </c>
      <c r="F11" s="137">
        <v>0.35</v>
      </c>
      <c r="G11" s="125">
        <f t="shared" si="0"/>
        <v>82.149999999999963</v>
      </c>
      <c r="H11" s="125">
        <f t="shared" si="1"/>
        <v>66.541499999999971</v>
      </c>
      <c r="I11" s="125">
        <f t="shared" si="2"/>
        <v>113.4</v>
      </c>
      <c r="J11" s="125">
        <f t="shared" si="3"/>
        <v>46.858500000000035</v>
      </c>
      <c r="K11" s="150">
        <v>65.000000000000014</v>
      </c>
      <c r="L11" s="137">
        <v>1.2</v>
      </c>
      <c r="M11" s="137">
        <v>0.35</v>
      </c>
      <c r="N11" s="125">
        <f t="shared" si="4"/>
        <v>66.550000000000011</v>
      </c>
      <c r="O11" s="125">
        <f t="shared" si="5"/>
        <v>53.905500000000011</v>
      </c>
      <c r="Q11" s="154"/>
      <c r="R11" s="153"/>
      <c r="S11" s="154"/>
    </row>
    <row r="12" spans="1:19" ht="15" customHeight="1" x14ac:dyDescent="0.3">
      <c r="A12" s="135">
        <v>2026</v>
      </c>
      <c r="B12" s="136">
        <v>46023</v>
      </c>
      <c r="C12" s="136">
        <v>46387</v>
      </c>
      <c r="D12" s="150">
        <v>80.599999999999966</v>
      </c>
      <c r="E12" s="137">
        <v>1.8</v>
      </c>
      <c r="F12" s="137">
        <v>0.35</v>
      </c>
      <c r="G12" s="125">
        <f t="shared" si="0"/>
        <v>82.749999999999957</v>
      </c>
      <c r="H12" s="125">
        <f t="shared" si="1"/>
        <v>67.027499999999975</v>
      </c>
      <c r="I12" s="125">
        <f t="shared" si="2"/>
        <v>113.4</v>
      </c>
      <c r="J12" s="125">
        <f t="shared" si="3"/>
        <v>46.372500000000031</v>
      </c>
      <c r="K12" s="150">
        <v>65.40000000000002</v>
      </c>
      <c r="L12" s="137">
        <v>1.2</v>
      </c>
      <c r="M12" s="137">
        <v>0.35</v>
      </c>
      <c r="N12" s="125">
        <f t="shared" si="4"/>
        <v>66.950000000000017</v>
      </c>
      <c r="O12" s="125">
        <f t="shared" si="5"/>
        <v>54.229500000000016</v>
      </c>
      <c r="Q12" s="154"/>
      <c r="R12" s="153"/>
      <c r="S12" s="154"/>
    </row>
    <row r="13" spans="1:19" ht="15" customHeight="1" x14ac:dyDescent="0.3">
      <c r="A13" s="135">
        <v>2027</v>
      </c>
      <c r="B13" s="136">
        <v>46388</v>
      </c>
      <c r="C13" s="136">
        <v>46752</v>
      </c>
      <c r="D13" s="150">
        <v>81.19999999999996</v>
      </c>
      <c r="E13" s="137">
        <v>1.8</v>
      </c>
      <c r="F13" s="137">
        <v>0.35</v>
      </c>
      <c r="G13" s="125">
        <f t="shared" si="0"/>
        <v>83.349999999999952</v>
      </c>
      <c r="H13" s="125">
        <f t="shared" si="1"/>
        <v>67.513499999999965</v>
      </c>
      <c r="I13" s="125">
        <f t="shared" si="2"/>
        <v>113.4</v>
      </c>
      <c r="J13" s="125">
        <f t="shared" si="3"/>
        <v>45.886500000000041</v>
      </c>
      <c r="K13" s="150">
        <v>65.800000000000026</v>
      </c>
      <c r="L13" s="137">
        <v>1.2</v>
      </c>
      <c r="M13" s="137">
        <v>0.35</v>
      </c>
      <c r="N13" s="125">
        <f t="shared" si="4"/>
        <v>67.350000000000023</v>
      </c>
      <c r="O13" s="125">
        <f t="shared" si="5"/>
        <v>54.553500000000021</v>
      </c>
      <c r="Q13" s="154"/>
      <c r="R13" s="153"/>
      <c r="S13" s="154"/>
    </row>
    <row r="14" spans="1:19" ht="15" customHeight="1" x14ac:dyDescent="0.3">
      <c r="A14" s="135">
        <v>2028</v>
      </c>
      <c r="B14" s="136">
        <v>46753</v>
      </c>
      <c r="C14" s="136">
        <v>47118</v>
      </c>
      <c r="D14" s="150">
        <v>81.799999999999955</v>
      </c>
      <c r="E14" s="137">
        <v>1.8</v>
      </c>
      <c r="F14" s="137">
        <v>0.35</v>
      </c>
      <c r="G14" s="125">
        <f t="shared" si="0"/>
        <v>83.949999999999946</v>
      </c>
      <c r="H14" s="125">
        <f t="shared" si="1"/>
        <v>67.999499999999955</v>
      </c>
      <c r="I14" s="125">
        <f t="shared" si="2"/>
        <v>113.4</v>
      </c>
      <c r="J14" s="125">
        <f t="shared" si="3"/>
        <v>45.400500000000051</v>
      </c>
      <c r="K14" s="150">
        <v>66.200000000000031</v>
      </c>
      <c r="L14" s="137">
        <v>1.2</v>
      </c>
      <c r="M14" s="137">
        <v>0.35</v>
      </c>
      <c r="N14" s="125">
        <f t="shared" si="4"/>
        <v>67.750000000000028</v>
      </c>
      <c r="O14" s="125">
        <f t="shared" si="5"/>
        <v>54.877500000000026</v>
      </c>
      <c r="Q14" s="154"/>
      <c r="R14" s="153"/>
      <c r="S14" s="154"/>
    </row>
    <row r="15" spans="1:19" ht="15" customHeight="1" x14ac:dyDescent="0.3">
      <c r="A15" s="135">
        <v>2029</v>
      </c>
      <c r="B15" s="136">
        <v>47119</v>
      </c>
      <c r="C15" s="136">
        <v>47483</v>
      </c>
      <c r="D15" s="150">
        <v>82.399999999999949</v>
      </c>
      <c r="E15" s="137">
        <v>1.8</v>
      </c>
      <c r="F15" s="137">
        <v>0.35</v>
      </c>
      <c r="G15" s="125">
        <f t="shared" si="0"/>
        <v>84.54999999999994</v>
      </c>
      <c r="H15" s="125">
        <f t="shared" si="1"/>
        <v>68.485499999999959</v>
      </c>
      <c r="I15" s="125">
        <f t="shared" si="2"/>
        <v>113.4</v>
      </c>
      <c r="J15" s="125">
        <f t="shared" si="3"/>
        <v>44.914500000000046</v>
      </c>
      <c r="K15" s="150">
        <v>66.600000000000037</v>
      </c>
      <c r="L15" s="137">
        <v>1.2</v>
      </c>
      <c r="M15" s="137">
        <v>0.35</v>
      </c>
      <c r="N15" s="125">
        <f t="shared" si="4"/>
        <v>68.150000000000034</v>
      </c>
      <c r="O15" s="125">
        <f t="shared" si="5"/>
        <v>55.201500000000031</v>
      </c>
      <c r="Q15" s="154"/>
      <c r="R15" s="153"/>
      <c r="S15" s="154"/>
    </row>
    <row r="16" spans="1:19" s="62" customFormat="1" ht="15" customHeight="1" x14ac:dyDescent="0.3">
      <c r="A16" s="135">
        <v>2030</v>
      </c>
      <c r="B16" s="136">
        <v>47484</v>
      </c>
      <c r="C16" s="136">
        <v>47848</v>
      </c>
      <c r="D16" s="150">
        <v>82.999999999999943</v>
      </c>
      <c r="E16" s="137">
        <v>1.8</v>
      </c>
      <c r="F16" s="137">
        <v>0.35</v>
      </c>
      <c r="G16" s="125">
        <f t="shared" si="0"/>
        <v>85.149999999999935</v>
      </c>
      <c r="H16" s="125">
        <f t="shared" si="1"/>
        <v>68.971499999999949</v>
      </c>
      <c r="I16" s="125">
        <f t="shared" si="2"/>
        <v>113.4</v>
      </c>
      <c r="J16" s="125">
        <f t="shared" si="3"/>
        <v>44.428500000000057</v>
      </c>
      <c r="K16" s="150">
        <v>67.000000000000043</v>
      </c>
      <c r="L16" s="137">
        <v>1.2</v>
      </c>
      <c r="M16" s="137">
        <v>0.35</v>
      </c>
      <c r="N16" s="125">
        <f t="shared" si="4"/>
        <v>68.55000000000004</v>
      </c>
      <c r="O16" s="125">
        <f t="shared" si="5"/>
        <v>55.525500000000036</v>
      </c>
      <c r="Q16" s="154"/>
      <c r="R16" s="153"/>
      <c r="S16" s="154"/>
    </row>
    <row r="17" spans="1:19" s="62" customFormat="1" ht="15" customHeight="1" x14ac:dyDescent="0.3">
      <c r="A17" s="135">
        <v>2031</v>
      </c>
      <c r="B17" s="136">
        <v>47849</v>
      </c>
      <c r="C17" s="136">
        <v>48213</v>
      </c>
      <c r="D17" s="150">
        <v>83.599999999999937</v>
      </c>
      <c r="E17" s="137">
        <v>1.8</v>
      </c>
      <c r="F17" s="137">
        <v>0.35</v>
      </c>
      <c r="G17" s="125">
        <f t="shared" si="0"/>
        <v>85.749999999999929</v>
      </c>
      <c r="H17" s="125">
        <f t="shared" si="1"/>
        <v>69.457499999999953</v>
      </c>
      <c r="I17" s="125">
        <f t="shared" si="2"/>
        <v>113.4</v>
      </c>
      <c r="J17" s="125">
        <f t="shared" si="3"/>
        <v>43.942500000000052</v>
      </c>
      <c r="K17" s="150">
        <v>67.400000000000048</v>
      </c>
      <c r="L17" s="137">
        <v>1.2</v>
      </c>
      <c r="M17" s="137">
        <v>0.35</v>
      </c>
      <c r="N17" s="125">
        <f t="shared" si="4"/>
        <v>68.950000000000045</v>
      </c>
      <c r="O17" s="125">
        <f t="shared" si="5"/>
        <v>55.849500000000042</v>
      </c>
      <c r="Q17" s="154"/>
      <c r="R17" s="153"/>
      <c r="S17" s="154"/>
    </row>
    <row r="18" spans="1:19" s="62" customFormat="1" ht="15" customHeight="1" x14ac:dyDescent="0.3">
      <c r="A18" s="135">
        <v>2032</v>
      </c>
      <c r="B18" s="136">
        <v>48214</v>
      </c>
      <c r="C18" s="136">
        <v>48579</v>
      </c>
      <c r="D18" s="150">
        <v>84.199999999999932</v>
      </c>
      <c r="E18" s="137">
        <v>1.8</v>
      </c>
      <c r="F18" s="137">
        <v>0.35</v>
      </c>
      <c r="G18" s="125">
        <f t="shared" si="0"/>
        <v>86.349999999999923</v>
      </c>
      <c r="H18" s="125">
        <f t="shared" si="1"/>
        <v>69.943499999999943</v>
      </c>
      <c r="I18" s="125">
        <f t="shared" si="2"/>
        <v>113.4</v>
      </c>
      <c r="J18" s="125">
        <f t="shared" si="3"/>
        <v>43.456500000000062</v>
      </c>
      <c r="K18" s="150">
        <v>67.800000000000054</v>
      </c>
      <c r="L18" s="137">
        <v>1.2</v>
      </c>
      <c r="M18" s="137">
        <v>0.35</v>
      </c>
      <c r="N18" s="125">
        <f t="shared" si="4"/>
        <v>69.350000000000051</v>
      </c>
      <c r="O18" s="125">
        <f t="shared" si="5"/>
        <v>56.173500000000047</v>
      </c>
      <c r="Q18" s="154"/>
      <c r="R18" s="153"/>
      <c r="S18" s="154"/>
    </row>
    <row r="19" spans="1:19" s="62" customFormat="1" ht="15" customHeight="1" x14ac:dyDescent="0.3">
      <c r="A19" s="135">
        <v>2033</v>
      </c>
      <c r="B19" s="136">
        <v>48580</v>
      </c>
      <c r="C19" s="136">
        <v>48944</v>
      </c>
      <c r="D19" s="150">
        <v>84.799999999999926</v>
      </c>
      <c r="E19" s="137">
        <v>1.8</v>
      </c>
      <c r="F19" s="137">
        <v>0.35</v>
      </c>
      <c r="G19" s="125">
        <f t="shared" si="0"/>
        <v>86.949999999999918</v>
      </c>
      <c r="H19" s="125">
        <f t="shared" si="1"/>
        <v>70.429499999999933</v>
      </c>
      <c r="I19" s="125">
        <f t="shared" si="2"/>
        <v>113.4</v>
      </c>
      <c r="J19" s="125">
        <f t="shared" si="3"/>
        <v>42.970500000000072</v>
      </c>
      <c r="K19" s="150">
        <v>68.20000000000006</v>
      </c>
      <c r="L19" s="137">
        <v>1.2</v>
      </c>
      <c r="M19" s="137">
        <v>0.35</v>
      </c>
      <c r="N19" s="125">
        <f t="shared" si="4"/>
        <v>69.750000000000057</v>
      </c>
      <c r="O19" s="125">
        <f t="shared" si="5"/>
        <v>56.497500000000052</v>
      </c>
      <c r="Q19" s="154"/>
      <c r="R19" s="153"/>
      <c r="S19" s="154"/>
    </row>
    <row r="20" spans="1:19" s="62" customFormat="1" ht="15" customHeight="1" x14ac:dyDescent="0.3">
      <c r="A20" s="135">
        <v>2034</v>
      </c>
      <c r="B20" s="136">
        <v>48945</v>
      </c>
      <c r="C20" s="136">
        <v>49309</v>
      </c>
      <c r="D20" s="150">
        <v>85.39999999999992</v>
      </c>
      <c r="E20" s="137">
        <v>1.8</v>
      </c>
      <c r="F20" s="137">
        <v>0.35</v>
      </c>
      <c r="G20" s="125">
        <f t="shared" si="0"/>
        <v>87.549999999999912</v>
      </c>
      <c r="H20" s="125">
        <f t="shared" si="1"/>
        <v>70.915499999999938</v>
      </c>
      <c r="I20" s="125">
        <f t="shared" si="2"/>
        <v>113.4</v>
      </c>
      <c r="J20" s="125">
        <f t="shared" si="3"/>
        <v>42.484500000000068</v>
      </c>
      <c r="K20" s="150">
        <v>68.600000000000065</v>
      </c>
      <c r="L20" s="137">
        <v>1.2</v>
      </c>
      <c r="M20" s="137">
        <v>0.35</v>
      </c>
      <c r="N20" s="125">
        <f t="shared" si="4"/>
        <v>70.150000000000063</v>
      </c>
      <c r="O20" s="125">
        <f t="shared" si="5"/>
        <v>56.821500000000057</v>
      </c>
      <c r="Q20" s="154"/>
      <c r="R20" s="153"/>
      <c r="S20" s="154"/>
    </row>
    <row r="21" spans="1:19" s="63" customFormat="1" ht="15" customHeight="1" x14ac:dyDescent="0.3">
      <c r="A21" s="64"/>
      <c r="B21" s="65"/>
      <c r="C21" s="65"/>
      <c r="D21" s="64"/>
      <c r="E21" s="64"/>
      <c r="F21" s="64"/>
      <c r="G21" s="65"/>
      <c r="H21" s="65"/>
      <c r="I21" s="65"/>
      <c r="J21" s="65"/>
      <c r="K21" s="65"/>
      <c r="L21" s="65"/>
      <c r="M21" s="65"/>
      <c r="N21" s="65"/>
      <c r="O21" s="65"/>
    </row>
    <row r="22" spans="1:19" x14ac:dyDescent="0.3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</row>
    <row r="23" spans="1:19" ht="55.2" x14ac:dyDescent="0.3">
      <c r="A23" s="126" t="s">
        <v>34</v>
      </c>
      <c r="B23" s="126" t="s">
        <v>35</v>
      </c>
      <c r="C23" s="127" t="s">
        <v>183</v>
      </c>
      <c r="D23" s="128" t="s">
        <v>184</v>
      </c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</row>
    <row r="24" spans="1:19" x14ac:dyDescent="0.3">
      <c r="A24" s="129">
        <v>43952</v>
      </c>
      <c r="B24" s="129">
        <v>44314</v>
      </c>
      <c r="C24" s="130">
        <f t="shared" ref="C24:C37" si="6">J6</f>
        <v>49.288500000000013</v>
      </c>
      <c r="D24" s="130">
        <f>8/12*O6+4/12*O7</f>
        <v>52.393499999999996</v>
      </c>
      <c r="F24" s="154"/>
      <c r="G24" s="153"/>
    </row>
    <row r="25" spans="1:19" x14ac:dyDescent="0.3">
      <c r="A25" s="129">
        <v>44317</v>
      </c>
      <c r="B25" s="129">
        <v>44679</v>
      </c>
      <c r="C25" s="130">
        <f t="shared" si="6"/>
        <v>48.802500000000009</v>
      </c>
      <c r="D25" s="130">
        <f t="shared" ref="D25:D37" si="7">8/12*O7+4/12*O8</f>
        <v>52.717499999999994</v>
      </c>
      <c r="F25" s="154"/>
      <c r="G25" s="153"/>
    </row>
    <row r="26" spans="1:19" x14ac:dyDescent="0.3">
      <c r="A26" s="129">
        <v>44682</v>
      </c>
      <c r="B26" s="129">
        <v>45044</v>
      </c>
      <c r="C26" s="130">
        <f t="shared" si="6"/>
        <v>48.316500000000019</v>
      </c>
      <c r="D26" s="130">
        <f t="shared" si="7"/>
        <v>53.041499999999999</v>
      </c>
      <c r="F26" s="154"/>
      <c r="G26" s="153"/>
    </row>
    <row r="27" spans="1:19" x14ac:dyDescent="0.3">
      <c r="A27" s="129">
        <v>45047</v>
      </c>
      <c r="B27" s="129">
        <v>45410</v>
      </c>
      <c r="C27" s="130">
        <f t="shared" si="6"/>
        <v>47.830500000000029</v>
      </c>
      <c r="D27" s="130">
        <f t="shared" si="7"/>
        <v>53.365499999999997</v>
      </c>
      <c r="F27" s="154"/>
      <c r="G27" s="153"/>
    </row>
    <row r="28" spans="1:19" x14ac:dyDescent="0.3">
      <c r="A28" s="129">
        <v>45413</v>
      </c>
      <c r="B28" s="129">
        <v>45775</v>
      </c>
      <c r="C28" s="130">
        <f t="shared" si="6"/>
        <v>47.344500000000025</v>
      </c>
      <c r="D28" s="130">
        <f t="shared" si="7"/>
        <v>53.68950000000001</v>
      </c>
      <c r="F28" s="154"/>
      <c r="G28" s="153"/>
    </row>
    <row r="29" spans="1:19" x14ac:dyDescent="0.3">
      <c r="A29" s="129">
        <v>45778</v>
      </c>
      <c r="B29" s="129">
        <v>46140</v>
      </c>
      <c r="C29" s="130">
        <f t="shared" si="6"/>
        <v>46.858500000000035</v>
      </c>
      <c r="D29" s="130">
        <f t="shared" si="7"/>
        <v>54.013500000000008</v>
      </c>
      <c r="F29" s="154"/>
      <c r="G29" s="153"/>
    </row>
    <row r="30" spans="1:19" x14ac:dyDescent="0.3">
      <c r="A30" s="129">
        <v>46143</v>
      </c>
      <c r="B30" s="129">
        <v>46505</v>
      </c>
      <c r="C30" s="130">
        <f t="shared" si="6"/>
        <v>46.372500000000031</v>
      </c>
      <c r="D30" s="130">
        <f t="shared" si="7"/>
        <v>54.337500000000013</v>
      </c>
      <c r="F30" s="154"/>
      <c r="G30" s="153"/>
    </row>
    <row r="31" spans="1:19" x14ac:dyDescent="0.3">
      <c r="A31" s="129">
        <v>46508</v>
      </c>
      <c r="B31" s="129">
        <v>46871</v>
      </c>
      <c r="C31" s="130">
        <f t="shared" si="6"/>
        <v>45.886500000000041</v>
      </c>
      <c r="D31" s="130">
        <f t="shared" si="7"/>
        <v>54.661500000000018</v>
      </c>
      <c r="F31" s="154"/>
      <c r="G31" s="153"/>
    </row>
    <row r="32" spans="1:19" x14ac:dyDescent="0.3">
      <c r="A32" s="129">
        <v>46874</v>
      </c>
      <c r="B32" s="129">
        <v>47236</v>
      </c>
      <c r="C32" s="130">
        <f t="shared" si="6"/>
        <v>45.400500000000051</v>
      </c>
      <c r="D32" s="130">
        <f t="shared" si="7"/>
        <v>54.985500000000023</v>
      </c>
      <c r="F32" s="154"/>
      <c r="G32" s="153"/>
    </row>
    <row r="33" spans="1:7" x14ac:dyDescent="0.3">
      <c r="A33" s="129">
        <v>47239</v>
      </c>
      <c r="B33" s="129">
        <v>47601</v>
      </c>
      <c r="C33" s="130">
        <f t="shared" si="6"/>
        <v>44.914500000000046</v>
      </c>
      <c r="D33" s="130">
        <f t="shared" si="7"/>
        <v>55.309500000000028</v>
      </c>
      <c r="F33" s="154"/>
      <c r="G33" s="153"/>
    </row>
    <row r="34" spans="1:7" x14ac:dyDescent="0.3">
      <c r="A34" s="129">
        <v>47604</v>
      </c>
      <c r="B34" s="129">
        <v>47966</v>
      </c>
      <c r="C34" s="130">
        <f t="shared" si="6"/>
        <v>44.428500000000057</v>
      </c>
      <c r="D34" s="130">
        <f t="shared" si="7"/>
        <v>55.633500000000041</v>
      </c>
      <c r="F34" s="154"/>
      <c r="G34" s="153"/>
    </row>
    <row r="35" spans="1:7" x14ac:dyDescent="0.3">
      <c r="A35" s="129">
        <v>47969</v>
      </c>
      <c r="B35" s="129">
        <v>48332</v>
      </c>
      <c r="C35" s="130">
        <f t="shared" si="6"/>
        <v>43.942500000000052</v>
      </c>
      <c r="D35" s="130">
        <f t="shared" si="7"/>
        <v>55.957500000000039</v>
      </c>
      <c r="F35" s="154"/>
      <c r="G35" s="153"/>
    </row>
    <row r="36" spans="1:7" x14ac:dyDescent="0.3">
      <c r="A36" s="129">
        <v>48335</v>
      </c>
      <c r="B36" s="129">
        <v>48697</v>
      </c>
      <c r="C36" s="130">
        <f t="shared" si="6"/>
        <v>43.456500000000062</v>
      </c>
      <c r="D36" s="130">
        <f t="shared" si="7"/>
        <v>56.281500000000044</v>
      </c>
      <c r="F36" s="154"/>
      <c r="G36" s="153"/>
    </row>
    <row r="37" spans="1:7" x14ac:dyDescent="0.3">
      <c r="A37" s="129">
        <v>48700</v>
      </c>
      <c r="B37" s="129">
        <v>49062</v>
      </c>
      <c r="C37" s="130">
        <f t="shared" si="6"/>
        <v>42.970500000000072</v>
      </c>
      <c r="D37" s="130">
        <f t="shared" si="7"/>
        <v>56.605500000000049</v>
      </c>
      <c r="F37" s="154"/>
      <c r="G37" s="153"/>
    </row>
  </sheetData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2:A3"/>
  <sheetViews>
    <sheetView workbookViewId="0">
      <selection activeCell="A4" sqref="A4"/>
    </sheetView>
  </sheetViews>
  <sheetFormatPr defaultRowHeight="14.4" x14ac:dyDescent="0.3"/>
  <sheetData>
    <row r="2" spans="1:1" x14ac:dyDescent="0.3">
      <c r="A2" t="s">
        <v>19</v>
      </c>
    </row>
    <row r="3" spans="1:1" x14ac:dyDescent="0.3">
      <c r="A3" t="s">
        <v>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E23F20F71BAD459EF721172F4D4C04" ma:contentTypeVersion="3" ma:contentTypeDescription="Create a new document." ma:contentTypeScope="" ma:versionID="21fc564a840e6eaedacb8f289167afbc">
  <xsd:schema xmlns:xsd="http://www.w3.org/2001/XMLSchema" xmlns:xs="http://www.w3.org/2001/XMLSchema" xmlns:p="http://schemas.microsoft.com/office/2006/metadata/properties" xmlns:ns2="6bf93c50-887b-4dff-ae69-26bbe241df06" targetNamespace="http://schemas.microsoft.com/office/2006/metadata/properties" ma:root="true" ma:fieldsID="16930ad4cba77184e8ca3e00315f2ecf" ns2:_="">
    <xsd:import namespace="6bf93c50-887b-4dff-ae69-26bbe241df06"/>
    <xsd:element name="properties">
      <xsd:complexType>
        <xsd:sequence>
          <xsd:element name="documentManagement">
            <xsd:complexType>
              <xsd:all>
                <xsd:element ref="ns2:Hydro_x0020_One_x0020_Data_x0020_Classifica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93c50-887b-4dff-ae69-26bbe241df06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6bf93c50-887b-4dff-ae69-26bbe241df06">Internal Use (Only Internal information is not for release to the public)</Hydro_x0020_One_x0020_Data_x0020_Classification>
  </documentManagement>
</p:properties>
</file>

<file path=customXml/itemProps1.xml><?xml version="1.0" encoding="utf-8"?>
<ds:datastoreItem xmlns:ds="http://schemas.openxmlformats.org/officeDocument/2006/customXml" ds:itemID="{6211F298-40CB-434C-9FE9-14CB0F1851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f93c50-887b-4dff-ae69-26bbe241df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678AD7-3835-4646-8F8D-7AF34AD3DA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4A6483-3EDD-46F1-B6EE-45D953E529C3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6bf93c50-887b-4dff-ae69-26bbe241df06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Checklist</vt:lpstr>
      <vt:lpstr> Load Summary</vt:lpstr>
      <vt:lpstr>Load Analysis</vt:lpstr>
      <vt:lpstr>TOU</vt:lpstr>
      <vt:lpstr>LDC Peak</vt:lpstr>
      <vt:lpstr>Customer Forecast</vt:lpstr>
      <vt:lpstr>Ref</vt:lpstr>
      <vt:lpstr>' Load Summary'!Print_Area</vt:lpstr>
      <vt:lpstr>'Load Analysis'!Print_Area</vt:lpstr>
      <vt:lpstr>'Load Analysis'!Print_Titles</vt:lpstr>
    </vt:vector>
  </TitlesOfParts>
  <Company>Hydro 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Ellwood MTS Line Connection Project1 - Customer Input Package</dc:title>
  <dc:creator>SYMONS Andrew</dc:creator>
  <cp:lastModifiedBy>Michelle Reesor</cp:lastModifiedBy>
  <dcterms:created xsi:type="dcterms:W3CDTF">2016-02-03T20:18:20Z</dcterms:created>
  <dcterms:modified xsi:type="dcterms:W3CDTF">2021-02-10T15:14:50Z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0x01010084E23F20F71BAD459EF721172F4D4C04</vt:lpwstr>
  </property>
</Properties>
</file>