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 Rate Application\Staff Questions - Round 1\"/>
    </mc:Choice>
  </mc:AlternateContent>
  <xr:revisionPtr revIDLastSave="0" documentId="8_{7D128795-7D28-4A61-AA32-CA72DFD01388}" xr6:coauthVersionLast="46" xr6:coauthVersionMax="46" xr10:uidLastSave="{00000000-0000-0000-0000-000000000000}"/>
  <bookViews>
    <workbookView xWindow="22932" yWindow="276" windowWidth="23256" windowHeight="14016" activeTab="1" xr2:uid="{1AEE21E0-C2B0-459A-B440-E18B59043367}"/>
  </bookViews>
  <sheets>
    <sheet name="2020 Disposition" sheetId="1" r:id="rId1"/>
    <sheet name="2019 Dispos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2" l="1"/>
  <c r="F52" i="2"/>
  <c r="F47" i="2" l="1"/>
  <c r="I47" i="2" l="1"/>
  <c r="I52" i="2" s="1"/>
  <c r="I58" i="2" s="1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7" i="2"/>
  <c r="K56" i="2"/>
  <c r="K55" i="2"/>
  <c r="K54" i="2"/>
  <c r="K53" i="2"/>
  <c r="K51" i="2"/>
  <c r="K50" i="2"/>
  <c r="K49" i="2"/>
  <c r="K48" i="2"/>
  <c r="J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G47" i="2"/>
  <c r="H47" i="2" s="1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7" i="2"/>
  <c r="H56" i="2"/>
  <c r="H55" i="2"/>
  <c r="H54" i="2"/>
  <c r="H53" i="2"/>
  <c r="H51" i="2"/>
  <c r="H50" i="2"/>
  <c r="H49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5" i="2"/>
  <c r="C55" i="2"/>
  <c r="D50" i="2"/>
  <c r="C50" i="2"/>
  <c r="D49" i="2"/>
  <c r="C49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G52" i="2" l="1"/>
  <c r="G58" i="2" s="1"/>
  <c r="H58" i="2" s="1"/>
  <c r="C47" i="2"/>
  <c r="C52" i="2" s="1"/>
  <c r="C58" i="2" s="1"/>
  <c r="K47" i="2"/>
  <c r="J52" i="2"/>
  <c r="D52" i="2" s="1"/>
  <c r="D58" i="2" s="1"/>
  <c r="H52" i="2"/>
  <c r="D47" i="2"/>
  <c r="K52" i="2" l="1"/>
  <c r="J58" i="2"/>
  <c r="K58" i="2" s="1"/>
  <c r="D21" i="2" l="1"/>
  <c r="D20" i="2"/>
  <c r="D19" i="2"/>
  <c r="D18" i="2"/>
  <c r="D17" i="2"/>
  <c r="D16" i="2"/>
  <c r="D15" i="2"/>
  <c r="D14" i="2"/>
  <c r="D13" i="2"/>
  <c r="D23" i="2" s="1"/>
  <c r="D12" i="2"/>
  <c r="D11" i="2"/>
  <c r="D10" i="2"/>
  <c r="D9" i="2"/>
  <c r="D8" i="2"/>
  <c r="D7" i="2"/>
  <c r="D6" i="2"/>
  <c r="D5" i="2"/>
  <c r="C21" i="2"/>
  <c r="C20" i="2"/>
  <c r="C19" i="2"/>
  <c r="C18" i="2"/>
  <c r="C17" i="2"/>
  <c r="C16" i="2"/>
  <c r="C15" i="2"/>
  <c r="C14" i="2"/>
  <c r="C13" i="2"/>
  <c r="C23" i="2" s="1"/>
  <c r="C12" i="2"/>
  <c r="C11" i="2"/>
  <c r="C10" i="2"/>
  <c r="C9" i="2"/>
  <c r="C8" i="2"/>
  <c r="C7" i="2"/>
  <c r="C6" i="2"/>
  <c r="C5" i="2"/>
  <c r="J24" i="2"/>
  <c r="I24" i="2"/>
  <c r="G24" i="2"/>
  <c r="F24" i="2"/>
  <c r="J23" i="2"/>
  <c r="I23" i="2"/>
  <c r="G23" i="2"/>
  <c r="F23" i="2"/>
  <c r="N21" i="2"/>
  <c r="M21" i="2"/>
  <c r="K21" i="2"/>
  <c r="H21" i="2"/>
  <c r="P20" i="2"/>
  <c r="N20" i="2"/>
  <c r="M20" i="2"/>
  <c r="K20" i="2"/>
  <c r="H20" i="2"/>
  <c r="K19" i="2"/>
  <c r="H19" i="2"/>
  <c r="N18" i="2"/>
  <c r="M18" i="2"/>
  <c r="K18" i="2"/>
  <c r="H18" i="2"/>
  <c r="P17" i="2"/>
  <c r="N17" i="2"/>
  <c r="M17" i="2"/>
  <c r="K17" i="2"/>
  <c r="H17" i="2"/>
  <c r="N16" i="2"/>
  <c r="M16" i="2"/>
  <c r="K16" i="2"/>
  <c r="H16" i="2"/>
  <c r="N15" i="2"/>
  <c r="M15" i="2"/>
  <c r="K15" i="2"/>
  <c r="H15" i="2"/>
  <c r="N14" i="2"/>
  <c r="M14" i="2"/>
  <c r="K14" i="2"/>
  <c r="H14" i="2"/>
  <c r="P13" i="2"/>
  <c r="P23" i="2" s="1"/>
  <c r="N13" i="2"/>
  <c r="N23" i="2" s="1"/>
  <c r="M13" i="2"/>
  <c r="M23" i="2" s="1"/>
  <c r="K13" i="2"/>
  <c r="H13" i="2"/>
  <c r="H23" i="2" s="1"/>
  <c r="P12" i="2"/>
  <c r="N12" i="2"/>
  <c r="M12" i="2"/>
  <c r="K12" i="2"/>
  <c r="H12" i="2"/>
  <c r="P11" i="2"/>
  <c r="N11" i="2"/>
  <c r="M11" i="2"/>
  <c r="K11" i="2"/>
  <c r="H11" i="2"/>
  <c r="P10" i="2"/>
  <c r="N10" i="2"/>
  <c r="M10" i="2"/>
  <c r="K10" i="2"/>
  <c r="H10" i="2"/>
  <c r="P9" i="2"/>
  <c r="N9" i="2"/>
  <c r="M9" i="2"/>
  <c r="K9" i="2"/>
  <c r="H9" i="2"/>
  <c r="N8" i="2"/>
  <c r="M8" i="2"/>
  <c r="K8" i="2"/>
  <c r="H8" i="2"/>
  <c r="P7" i="2"/>
  <c r="N7" i="2"/>
  <c r="M7" i="2"/>
  <c r="K7" i="2"/>
  <c r="H7" i="2"/>
  <c r="P6" i="2"/>
  <c r="N6" i="2"/>
  <c r="M6" i="2"/>
  <c r="K6" i="2"/>
  <c r="H6" i="2"/>
  <c r="P5" i="2"/>
  <c r="N5" i="2"/>
  <c r="M5" i="2"/>
  <c r="K5" i="2"/>
  <c r="H5" i="2"/>
  <c r="P20" i="1"/>
  <c r="P17" i="1"/>
  <c r="P13" i="1"/>
  <c r="P24" i="1" s="1"/>
  <c r="P12" i="1"/>
  <c r="P11" i="1"/>
  <c r="P10" i="1"/>
  <c r="P9" i="1"/>
  <c r="P7" i="1"/>
  <c r="P6" i="1"/>
  <c r="P5" i="1"/>
  <c r="F25" i="2" l="1"/>
  <c r="G25" i="2"/>
  <c r="J25" i="2"/>
  <c r="P24" i="2"/>
  <c r="P25" i="2" s="1"/>
  <c r="I25" i="2"/>
  <c r="K24" i="2"/>
  <c r="M24" i="2"/>
  <c r="M25" i="2" s="1"/>
  <c r="N24" i="2"/>
  <c r="N25" i="2" s="1"/>
  <c r="C24" i="2"/>
  <c r="C25" i="2" s="1"/>
  <c r="C76" i="2" s="1"/>
  <c r="D24" i="2"/>
  <c r="D25" i="2" s="1"/>
  <c r="D76" i="2" s="1"/>
  <c r="K23" i="2"/>
  <c r="H24" i="2"/>
  <c r="H25" i="2" s="1"/>
  <c r="P23" i="1"/>
  <c r="P25" i="1" s="1"/>
  <c r="P29" i="1" s="1"/>
  <c r="K25" i="2" l="1"/>
  <c r="M23" i="1"/>
  <c r="K23" i="1"/>
  <c r="K25" i="1" s="1"/>
  <c r="N27" i="1"/>
  <c r="M27" i="1"/>
  <c r="K27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24" i="1" s="1"/>
  <c r="N21" i="1"/>
  <c r="M21" i="1"/>
  <c r="N20" i="1"/>
  <c r="M20" i="1"/>
  <c r="N18" i="1"/>
  <c r="M18" i="1"/>
  <c r="N17" i="1"/>
  <c r="M17" i="1"/>
  <c r="N16" i="1"/>
  <c r="M16" i="1"/>
  <c r="N15" i="1"/>
  <c r="M15" i="1"/>
  <c r="N14" i="1"/>
  <c r="M14" i="1"/>
  <c r="N13" i="1"/>
  <c r="N23" i="1" s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N24" i="1" s="1"/>
  <c r="M5" i="1"/>
  <c r="M24" i="1" s="1"/>
  <c r="N25" i="1" l="1"/>
  <c r="N29" i="1" s="1"/>
  <c r="M25" i="1"/>
  <c r="M29" i="1" s="1"/>
  <c r="H19" i="1" l="1"/>
  <c r="H27" i="1"/>
  <c r="H21" i="1"/>
  <c r="H20" i="1"/>
  <c r="H18" i="1"/>
  <c r="H17" i="1"/>
  <c r="H16" i="1"/>
  <c r="H15" i="1"/>
  <c r="H14" i="1"/>
  <c r="H13" i="1"/>
  <c r="H23" i="1" s="1"/>
  <c r="H12" i="1"/>
  <c r="H11" i="1"/>
  <c r="H10" i="1"/>
  <c r="H9" i="1"/>
  <c r="H8" i="1"/>
  <c r="H7" i="1"/>
  <c r="H6" i="1"/>
  <c r="H5" i="1"/>
  <c r="J24" i="1"/>
  <c r="I24" i="1"/>
  <c r="J23" i="1"/>
  <c r="J25" i="1" s="1"/>
  <c r="J29" i="1" s="1"/>
  <c r="I23" i="1"/>
  <c r="I25" i="1" s="1"/>
  <c r="I29" i="1" s="1"/>
  <c r="G24" i="1"/>
  <c r="G23" i="1"/>
  <c r="G25" i="1" s="1"/>
  <c r="G29" i="1" s="1"/>
  <c r="F24" i="1"/>
  <c r="F23" i="1"/>
  <c r="F25" i="1" s="1"/>
  <c r="F29" i="1" s="1"/>
  <c r="H24" i="1" l="1"/>
  <c r="H25" i="1" s="1"/>
  <c r="H29" i="1" s="1"/>
  <c r="D27" i="1" l="1"/>
  <c r="D13" i="1"/>
  <c r="C13" i="1"/>
  <c r="C23" i="1" s="1"/>
  <c r="D12" i="1"/>
  <c r="C12" i="1"/>
  <c r="D11" i="1"/>
  <c r="C11" i="1"/>
  <c r="D10" i="1"/>
  <c r="C10" i="1"/>
  <c r="D9" i="1"/>
  <c r="C9" i="1"/>
  <c r="D7" i="1"/>
  <c r="C7" i="1"/>
  <c r="D6" i="1"/>
  <c r="C6" i="1"/>
  <c r="D5" i="1"/>
  <c r="C5" i="1"/>
  <c r="D24" i="1" l="1"/>
  <c r="D23" i="1"/>
  <c r="D25" i="1" s="1"/>
  <c r="D29" i="1" s="1"/>
  <c r="C24" i="1"/>
  <c r="C25" i="1" s="1"/>
  <c r="C29" i="1" s="1"/>
</calcChain>
</file>

<file path=xl/sharedStrings.xml><?xml version="1.0" encoding="utf-8"?>
<sst xmlns="http://schemas.openxmlformats.org/spreadsheetml/2006/main" count="112" uniqueCount="72">
  <si>
    <t>Account Descriptions</t>
  </si>
  <si>
    <t>Account Number</t>
  </si>
  <si>
    <t>Group 1 Accounts</t>
  </si>
  <si>
    <t>LV Variance Account</t>
  </si>
  <si>
    <t>Smart Metering Entity Charge Variance Account</t>
  </si>
  <si>
    <r>
      <t>RSVA - Wholesale Market Service Charge</t>
    </r>
    <r>
      <rPr>
        <vertAlign val="superscript"/>
        <sz val="11"/>
        <rFont val="Arial"/>
        <family val="2"/>
      </rPr>
      <t>5</t>
    </r>
  </si>
  <si>
    <r>
      <t>Variance WMS – Sub-account CBR Class A</t>
    </r>
    <r>
      <rPr>
        <vertAlign val="superscript"/>
        <sz val="11"/>
        <rFont val="Arial"/>
        <family val="2"/>
      </rPr>
      <t>5</t>
    </r>
  </si>
  <si>
    <r>
      <t>Variance WMS – Sub-account CBR Class B</t>
    </r>
    <r>
      <rPr>
        <vertAlign val="superscript"/>
        <sz val="11"/>
        <rFont val="Arial"/>
        <family val="2"/>
      </rPr>
      <t>5</t>
    </r>
  </si>
  <si>
    <t>RSVA - Retail Transmission Network Charge</t>
  </si>
  <si>
    <t>RSVA - Retail Transmission Connection Charge</t>
  </si>
  <si>
    <r>
      <t>RSVA - Power</t>
    </r>
    <r>
      <rPr>
        <vertAlign val="superscript"/>
        <sz val="11"/>
        <rFont val="Arial"/>
        <family val="2"/>
      </rPr>
      <t>4</t>
    </r>
  </si>
  <si>
    <r>
      <t>RSVA - Global Adjustment</t>
    </r>
    <r>
      <rPr>
        <vertAlign val="superscript"/>
        <sz val="11"/>
        <rFont val="Arial"/>
        <family val="2"/>
      </rPr>
      <t>4</t>
    </r>
  </si>
  <si>
    <r>
      <t>Disposition and Recovery/Refund of Regulatory Balances (2009)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</si>
  <si>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(2014 and pre-2014)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</si>
  <si>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(2015)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</si>
  <si>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(2016)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</si>
  <si>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(2017)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</si>
  <si>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(2018)</t>
    </r>
    <r>
      <rPr>
        <vertAlign val="superscript"/>
        <sz val="11"/>
        <rFont val="Arial"/>
        <family val="2"/>
      </rPr>
      <t>3</t>
    </r>
  </si>
  <si>
    <r>
      <t>Disposition and Recovery/Refund of Regulatory Balances (2019)</t>
    </r>
    <r>
      <rPr>
        <vertAlign val="superscript"/>
        <sz val="11"/>
        <rFont val="Arial"/>
        <family val="2"/>
      </rPr>
      <t xml:space="preserve">3
</t>
    </r>
    <r>
      <rPr>
        <vertAlign val="superscript"/>
        <sz val="11"/>
        <color rgb="FFFF0000"/>
        <rFont val="Arial"/>
        <family val="2"/>
      </rPr>
      <t>Refer to the Filing Requirements for disposition eligibility.</t>
    </r>
  </si>
  <si>
    <r>
      <t>Disposition and Recovery/Refund of Regulatory Balances (2020)</t>
    </r>
    <r>
      <rPr>
        <vertAlign val="superscript"/>
        <sz val="11"/>
        <rFont val="Arial"/>
        <family val="2"/>
      </rPr>
      <t xml:space="preserve">3
</t>
    </r>
    <r>
      <rPr>
        <i/>
        <sz val="11"/>
        <color rgb="FFFF0000"/>
        <rFont val="Arial"/>
        <family val="2"/>
      </rPr>
      <t>Not to be disposed of until a year after rate rider has expired and that balance has been audited</t>
    </r>
  </si>
  <si>
    <t>RSVA - Global Adjustment</t>
  </si>
  <si>
    <t>Total Group 1 Balance excluding Account 1589 - Global Adjustment</t>
  </si>
  <si>
    <t>Total Group 1 Balance</t>
  </si>
  <si>
    <t>LRAM Variance Account (only input amounts if applying for disposition of this account)</t>
  </si>
  <si>
    <t>Total including Account 1568</t>
  </si>
  <si>
    <t>Principal Disposition during 2020 - instructed by OEB</t>
  </si>
  <si>
    <t>Interest Disposition during 2020 - instructed by OEB</t>
  </si>
  <si>
    <t>PSP</t>
  </si>
  <si>
    <t>LP</t>
  </si>
  <si>
    <t>`</t>
  </si>
  <si>
    <t>Principal Disposition during 2019 - instructed by OEB</t>
  </si>
  <si>
    <t>includes Group 2</t>
  </si>
  <si>
    <t>Interest Disposition during 2019 - instructed by OEB</t>
  </si>
  <si>
    <t>Corresponds to Group 2 disposition</t>
  </si>
  <si>
    <t>entry made (not disposition - for illustration)</t>
  </si>
  <si>
    <t>former PSP</t>
  </si>
  <si>
    <t>Lakeland Power</t>
  </si>
  <si>
    <t>Group 2 Accounts</t>
  </si>
  <si>
    <t>Other Regulatory Assets - Sub-Account - Deferred IFRS Transition Costs</t>
  </si>
  <si>
    <t>Other Regulatory Assets - Sub-Account - Incremental Capital Charges</t>
  </si>
  <si>
    <r>
      <t>Other Regulatory Assets - Sub-Account - Financial Assistance Payment and Recovery Variance - Ontario Clean Energy Benefit Act</t>
    </r>
    <r>
      <rPr>
        <vertAlign val="superscript"/>
        <sz val="11"/>
        <rFont val="Arial"/>
        <family val="2"/>
      </rPr>
      <t>3</t>
    </r>
  </si>
  <si>
    <t>Other Regulatory Assets - Sub-Account - Other - Late Payment Penalty Litigation</t>
  </si>
  <si>
    <t>Other Regulatory Assets - Sub-Account - Other - OEB Assessment</t>
  </si>
  <si>
    <t xml:space="preserve">Other Regulatory Assets - Sub-Account - Other - TransCanada </t>
  </si>
  <si>
    <t>Retail Cost Variance Account - Retail</t>
  </si>
  <si>
    <t>Misc. Deferred Debits</t>
  </si>
  <si>
    <t>Retail Cost Variance Account - STR</t>
  </si>
  <si>
    <t>Board-Approved CDM Variance Account</t>
  </si>
  <si>
    <t>Extra-Ordinary Event Costs</t>
  </si>
  <si>
    <t>Deferred Rate Impact Amounts</t>
  </si>
  <si>
    <t>RSVA - One-time</t>
  </si>
  <si>
    <t>Other Deferred Credits</t>
  </si>
  <si>
    <t>Group 2 Sub-Total</t>
  </si>
  <si>
    <t>PILs and Tax Variance for 2006 and Subsequent Years                                                                          (excludes sub-account and contra account below)</t>
  </si>
  <si>
    <t>PILs and Tax Variance for 2006 and Subsequent Years - Sub-Account HST/OVAT Input Tax Credits (ITCs)</t>
  </si>
  <si>
    <r>
      <t>LRAM Variance Account</t>
    </r>
    <r>
      <rPr>
        <b/>
        <vertAlign val="superscript"/>
        <sz val="11"/>
        <color indexed="12"/>
        <rFont val="Arial"/>
        <family val="2"/>
      </rPr>
      <t>11</t>
    </r>
  </si>
  <si>
    <r>
      <t>Renewable Generation Connection Capital Deferral Account</t>
    </r>
    <r>
      <rPr>
        <vertAlign val="superscript"/>
        <sz val="11"/>
        <rFont val="Arial"/>
        <family val="2"/>
      </rPr>
      <t>8</t>
    </r>
  </si>
  <si>
    <r>
      <t>Renewable Generation Connection OM&amp;A Deferral Account</t>
    </r>
    <r>
      <rPr>
        <vertAlign val="superscript"/>
        <sz val="11"/>
        <rFont val="Arial"/>
        <family val="2"/>
      </rPr>
      <t>8</t>
    </r>
  </si>
  <si>
    <t xml:space="preserve">Renewable Generation Connection Funding Adder Deferral Account </t>
  </si>
  <si>
    <t>Smart Grid Capital Deferral Account</t>
  </si>
  <si>
    <t>Smart Grid OM&amp;A Deferral Account</t>
  </si>
  <si>
    <t>Smart Grid Funding Adder Deferral Account</t>
  </si>
  <si>
    <r>
      <t>Smart Meter Capital and Recovery Offset Variance - Sub-Account - Capital</t>
    </r>
    <r>
      <rPr>
        <vertAlign val="superscript"/>
        <sz val="11"/>
        <rFont val="Arial"/>
        <family val="2"/>
      </rPr>
      <t>4</t>
    </r>
  </si>
  <si>
    <r>
      <t>Smart Meter Capital and Recovery Offset Variance - Sub-Account - Recoveries</t>
    </r>
    <r>
      <rPr>
        <vertAlign val="superscript"/>
        <sz val="11"/>
        <rFont val="Arial"/>
        <family val="2"/>
      </rPr>
      <t>4</t>
    </r>
  </si>
  <si>
    <r>
      <t>Smart Meter Capital and Recovery Offset Variance - Sub-Account - Stranded Meter Costs</t>
    </r>
    <r>
      <rPr>
        <vertAlign val="superscript"/>
        <sz val="11"/>
        <rFont val="Arial"/>
        <family val="2"/>
      </rPr>
      <t>4</t>
    </r>
  </si>
  <si>
    <r>
      <t>Smart Meter OM&amp;A Variance</t>
    </r>
    <r>
      <rPr>
        <vertAlign val="superscript"/>
        <sz val="11"/>
        <rFont val="Arial"/>
        <family val="2"/>
      </rPr>
      <t>4</t>
    </r>
  </si>
  <si>
    <r>
      <t>Meter Cost Deferral Account (MIST Meters)</t>
    </r>
    <r>
      <rPr>
        <vertAlign val="superscript"/>
        <sz val="11"/>
        <rFont val="Arial"/>
        <family val="2"/>
      </rPr>
      <t>10</t>
    </r>
  </si>
  <si>
    <r>
      <t>IFRS-CGAAP Transition PP&amp;E Amounts Balance + Return Component</t>
    </r>
    <r>
      <rPr>
        <vertAlign val="superscript"/>
        <sz val="11"/>
        <rFont val="Arial"/>
        <family val="2"/>
      </rPr>
      <t>5</t>
    </r>
  </si>
  <si>
    <r>
      <t>Accounting Changes Under CGAAP Balance + Return Component</t>
    </r>
    <r>
      <rPr>
        <vertAlign val="superscript"/>
        <sz val="11"/>
        <rFont val="Arial"/>
        <family val="2"/>
      </rPr>
      <t>5</t>
    </r>
  </si>
  <si>
    <t>not 1595</t>
  </si>
  <si>
    <t>Total of Group 2 Accounts (including 1592)</t>
  </si>
  <si>
    <t>Amounts transferred to Account 1595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</si>
</sst>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164" formatCode="&quot;$&quot;#,##0;[Red]\(&quot;$&quot;#,##0\)"/>
    <numFmt numFmtId="165" formatCode="&quot;$&quot;#,##0_);[Red]\(&quot;$&quot;#,##0\)"/>
    <numFmt numFmtId="166" formatCode="&quot;$&quot;#,##0.00_);[Red]\(&quot;$&quot;#,##0.00\)"/>
    <numFmt numFmtId="167" formatCode="_ #,##0;[Red]\(#,##0\)"/>
  </numFmts>
  <fonts count="15" x14ac:knownFonts="1"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0"/>
      <name val="Book Antiqua"/>
      <family val="1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rgb="FFFF0000"/>
      <name val="Arial"/>
      <family val="2"/>
    </font>
    <font>
      <sz val="10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0"/>
      <name val="Book Antiqua"/>
      <family val="1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164" fontId="4" fillId="0" borderId="3" xfId="0" applyNumberFormat="1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165" fontId="0" fillId="0" borderId="4" xfId="0" applyNumberFormat="1" applyBorder="1"/>
    <xf numFmtId="0" fontId="4" fillId="0" borderId="4" xfId="0" applyFont="1" applyBorder="1"/>
    <xf numFmtId="0" fontId="10" fillId="0" borderId="3" xfId="1" applyFont="1" applyBorder="1"/>
    <xf numFmtId="0" fontId="10" fillId="0" borderId="4" xfId="1" applyFont="1" applyBorder="1" applyAlignment="1">
      <alignment horizontal="center"/>
    </xf>
    <xf numFmtId="0" fontId="9" fillId="0" borderId="5" xfId="0" applyFont="1" applyBorder="1"/>
    <xf numFmtId="0" fontId="4" fillId="0" borderId="6" xfId="0" applyFont="1" applyBorder="1"/>
    <xf numFmtId="165" fontId="0" fillId="0" borderId="10" xfId="0" applyNumberFormat="1" applyBorder="1" applyAlignment="1">
      <alignment wrapText="1"/>
    </xf>
    <xf numFmtId="165" fontId="0" fillId="0" borderId="11" xfId="0" applyNumberFormat="1" applyBorder="1" applyAlignment="1">
      <alignment wrapText="1"/>
    </xf>
    <xf numFmtId="167" fontId="4" fillId="2" borderId="12" xfId="1" applyNumberFormat="1" applyFont="1" applyFill="1" applyBorder="1" applyProtection="1">
      <protection locked="0"/>
    </xf>
    <xf numFmtId="167" fontId="4" fillId="2" borderId="13" xfId="0" applyNumberFormat="1" applyFont="1" applyFill="1" applyBorder="1" applyProtection="1">
      <protection locked="0"/>
    </xf>
    <xf numFmtId="167" fontId="4" fillId="2" borderId="12" xfId="0" applyNumberFormat="1" applyFont="1" applyFill="1" applyBorder="1" applyProtection="1">
      <protection locked="0"/>
    </xf>
    <xf numFmtId="167" fontId="4" fillId="0" borderId="3" xfId="0" applyNumberFormat="1" applyFont="1" applyBorder="1" applyProtection="1">
      <protection locked="0"/>
    </xf>
    <xf numFmtId="167" fontId="4" fillId="0" borderId="0" xfId="0" applyNumberFormat="1" applyFont="1" applyProtection="1">
      <protection locked="0"/>
    </xf>
    <xf numFmtId="167" fontId="4" fillId="0" borderId="3" xfId="0" applyNumberFormat="1" applyFont="1" applyBorder="1"/>
    <xf numFmtId="167" fontId="4" fillId="0" borderId="0" xfId="0" applyNumberFormat="1" applyFont="1"/>
    <xf numFmtId="165" fontId="12" fillId="0" borderId="3" xfId="0" applyNumberFormat="1" applyFont="1" applyBorder="1" applyProtection="1">
      <protection locked="0"/>
    </xf>
    <xf numFmtId="165" fontId="12" fillId="0" borderId="0" xfId="0" applyNumberFormat="1" applyFont="1" applyProtection="1">
      <protection locked="0"/>
    </xf>
    <xf numFmtId="167" fontId="4" fillId="0" borderId="14" xfId="0" applyNumberFormat="1" applyFont="1" applyBorder="1"/>
    <xf numFmtId="167" fontId="0" fillId="0" borderId="0" xfId="0" applyNumberFormat="1"/>
    <xf numFmtId="167" fontId="4" fillId="3" borderId="12" xfId="1" applyNumberFormat="1" applyFont="1" applyFill="1" applyBorder="1" applyProtection="1">
      <protection locked="0"/>
    </xf>
    <xf numFmtId="167" fontId="0" fillId="3" borderId="0" xfId="0" applyNumberFormat="1" applyFill="1"/>
    <xf numFmtId="0" fontId="0" fillId="3" borderId="0" xfId="0" applyFill="1"/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6" fontId="11" fillId="0" borderId="8" xfId="0" applyNumberFormat="1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166" fontId="11" fillId="0" borderId="9" xfId="0" applyNumberFormat="1" applyFont="1" applyBorder="1" applyAlignment="1">
      <alignment horizontal="center" vertical="center" wrapText="1"/>
    </xf>
    <xf numFmtId="0" fontId="13" fillId="0" borderId="15" xfId="0" applyFont="1" applyBorder="1"/>
    <xf numFmtId="0" fontId="13" fillId="0" borderId="16" xfId="0" applyFont="1" applyBorder="1"/>
    <xf numFmtId="167" fontId="4" fillId="0" borderId="12" xfId="1" applyNumberFormat="1" applyFont="1" applyFill="1" applyBorder="1" applyProtection="1">
      <protection locked="0"/>
    </xf>
    <xf numFmtId="0" fontId="4" fillId="0" borderId="3" xfId="0" applyFont="1" applyBorder="1" applyAlignment="1">
      <alignment wrapText="1"/>
    </xf>
    <xf numFmtId="6" fontId="4" fillId="2" borderId="13" xfId="0" applyNumberFormat="1" applyFont="1" applyFill="1" applyBorder="1" applyProtection="1">
      <protection locked="0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6" fontId="4" fillId="4" borderId="12" xfId="0" applyNumberFormat="1" applyFont="1" applyFill="1" applyBorder="1"/>
    <xf numFmtId="6" fontId="4" fillId="0" borderId="0" xfId="0" applyNumberFormat="1" applyFont="1"/>
    <xf numFmtId="167" fontId="4" fillId="2" borderId="17" xfId="1" applyNumberFormat="1" applyFont="1" applyFill="1" applyBorder="1" applyProtection="1">
      <protection locked="0"/>
    </xf>
    <xf numFmtId="167" fontId="4" fillId="2" borderId="18" xfId="1" applyNumberFormat="1" applyFont="1" applyFill="1" applyBorder="1" applyProtection="1">
      <protection locked="0"/>
    </xf>
    <xf numFmtId="167" fontId="0" fillId="0" borderId="19" xfId="0" applyNumberFormat="1" applyBorder="1"/>
    <xf numFmtId="167" fontId="4" fillId="2" borderId="20" xfId="1" applyNumberFormat="1" applyFont="1" applyFill="1" applyBorder="1" applyProtection="1">
      <protection locked="0"/>
    </xf>
    <xf numFmtId="167" fontId="0" fillId="0" borderId="21" xfId="0" applyNumberFormat="1" applyBorder="1"/>
    <xf numFmtId="167" fontId="4" fillId="2" borderId="20" xfId="0" applyNumberFormat="1" applyFont="1" applyFill="1" applyBorder="1" applyProtection="1">
      <protection locked="0"/>
    </xf>
    <xf numFmtId="167" fontId="0" fillId="0" borderId="21" xfId="0" applyNumberFormat="1" applyFill="1" applyBorder="1"/>
    <xf numFmtId="167" fontId="4" fillId="0" borderId="22" xfId="0" applyNumberFormat="1" applyFont="1" applyBorder="1" applyProtection="1">
      <protection locked="0"/>
    </xf>
    <xf numFmtId="167" fontId="4" fillId="0" borderId="0" xfId="0" applyNumberFormat="1" applyFont="1" applyBorder="1" applyProtection="1">
      <protection locked="0"/>
    </xf>
    <xf numFmtId="0" fontId="0" fillId="0" borderId="21" xfId="0" applyFill="1" applyBorder="1"/>
    <xf numFmtId="167" fontId="4" fillId="0" borderId="22" xfId="0" applyNumberFormat="1" applyFont="1" applyBorder="1"/>
    <xf numFmtId="167" fontId="4" fillId="0" borderId="0" xfId="0" applyNumberFormat="1" applyFont="1" applyBorder="1"/>
    <xf numFmtId="167" fontId="4" fillId="0" borderId="21" xfId="0" applyNumberFormat="1" applyFont="1" applyFill="1" applyBorder="1"/>
    <xf numFmtId="167" fontId="4" fillId="0" borderId="23" xfId="0" applyNumberFormat="1" applyFont="1" applyBorder="1"/>
    <xf numFmtId="167" fontId="4" fillId="0" borderId="24" xfId="0" applyNumberFormat="1" applyFont="1" applyBorder="1"/>
    <xf numFmtId="167" fontId="4" fillId="0" borderId="25" xfId="0" applyNumberFormat="1" applyFont="1" applyFill="1" applyBorder="1"/>
    <xf numFmtId="6" fontId="4" fillId="4" borderId="17" xfId="0" applyNumberFormat="1" applyFont="1" applyFill="1" applyBorder="1"/>
    <xf numFmtId="6" fontId="4" fillId="4" borderId="18" xfId="0" applyNumberFormat="1" applyFont="1" applyFill="1" applyBorder="1"/>
    <xf numFmtId="6" fontId="4" fillId="4" borderId="20" xfId="0" applyNumberFormat="1" applyFont="1" applyFill="1" applyBorder="1"/>
    <xf numFmtId="6" fontId="4" fillId="0" borderId="22" xfId="0" applyNumberFormat="1" applyFont="1" applyBorder="1"/>
    <xf numFmtId="6" fontId="4" fillId="0" borderId="0" xfId="0" applyNumberFormat="1" applyFont="1" applyBorder="1"/>
    <xf numFmtId="6" fontId="4" fillId="0" borderId="23" xfId="0" applyNumberFormat="1" applyFont="1" applyBorder="1"/>
    <xf numFmtId="6" fontId="4" fillId="0" borderId="24" xfId="0" applyNumberFormat="1" applyFont="1" applyBorder="1"/>
    <xf numFmtId="167" fontId="0" fillId="0" borderId="25" xfId="0" applyNumberFormat="1" applyFill="1" applyBorder="1"/>
  </cellXfs>
  <cellStyles count="2">
    <cellStyle name="Normal" xfId="0" builtinId="0"/>
    <cellStyle name="Normal 2" xfId="1" xr:uid="{E354EEE2-CC55-4C11-A225-14D62C1D1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DD672-2260-421E-B277-D6F3D6F7AABE}">
  <dimension ref="A1:R29"/>
  <sheetViews>
    <sheetView topLeftCell="A16" workbookViewId="0">
      <selection activeCell="A37" sqref="A37"/>
    </sheetView>
  </sheetViews>
  <sheetFormatPr defaultRowHeight="14.4" x14ac:dyDescent="0.3"/>
  <cols>
    <col min="1" max="1" width="70.88671875" customWidth="1"/>
    <col min="2" max="2" width="15.88671875" bestFit="1" customWidth="1"/>
    <col min="3" max="3" width="16.33203125" customWidth="1"/>
    <col min="4" max="4" width="14.44140625" customWidth="1"/>
    <col min="5" max="8" width="8.88671875" customWidth="1"/>
    <col min="9" max="9" width="11.33203125" customWidth="1"/>
    <col min="10" max="12" width="8.88671875" customWidth="1"/>
    <col min="13" max="13" width="11.109375" customWidth="1"/>
    <col min="14" max="15" width="8.88671875" customWidth="1"/>
    <col min="16" max="16" width="15" customWidth="1"/>
    <col min="17" max="17" width="14.33203125" customWidth="1"/>
    <col min="18" max="18" width="37" customWidth="1"/>
  </cols>
  <sheetData>
    <row r="1" spans="1:17" x14ac:dyDescent="0.3">
      <c r="A1" s="34" t="s">
        <v>0</v>
      </c>
      <c r="B1" s="36" t="s">
        <v>1</v>
      </c>
      <c r="C1" s="38" t="s">
        <v>25</v>
      </c>
      <c r="D1" s="41" t="s">
        <v>26</v>
      </c>
      <c r="P1" s="38" t="s">
        <v>30</v>
      </c>
      <c r="Q1" s="41" t="s">
        <v>32</v>
      </c>
    </row>
    <row r="2" spans="1:17" x14ac:dyDescent="0.3">
      <c r="A2" s="35"/>
      <c r="B2" s="37"/>
      <c r="C2" s="39"/>
      <c r="D2" s="42"/>
      <c r="P2" s="39"/>
      <c r="Q2" s="42"/>
    </row>
    <row r="3" spans="1:17" ht="34.200000000000003" customHeight="1" thickBot="1" x14ac:dyDescent="0.35">
      <c r="A3" s="35"/>
      <c r="B3" s="37"/>
      <c r="C3" s="40"/>
      <c r="D3" s="43"/>
      <c r="F3" t="s">
        <v>27</v>
      </c>
      <c r="I3" t="s">
        <v>28</v>
      </c>
      <c r="P3" s="40"/>
      <c r="Q3" s="43"/>
    </row>
    <row r="4" spans="1:17" ht="23.4" thickBot="1" x14ac:dyDescent="0.35">
      <c r="A4" s="1" t="s">
        <v>2</v>
      </c>
      <c r="B4" s="2"/>
      <c r="C4" s="18"/>
      <c r="D4" s="19"/>
      <c r="P4" s="33" t="s">
        <v>31</v>
      </c>
      <c r="Q4" s="33" t="s">
        <v>31</v>
      </c>
    </row>
    <row r="5" spans="1:17" ht="15" thickBot="1" x14ac:dyDescent="0.35">
      <c r="A5" s="3" t="s">
        <v>3</v>
      </c>
      <c r="B5" s="4">
        <v>1550</v>
      </c>
      <c r="C5" s="20">
        <f>167939+109878</f>
        <v>277817</v>
      </c>
      <c r="D5" s="20">
        <f>7822+5361</f>
        <v>13183</v>
      </c>
      <c r="F5" s="20">
        <v>109877</v>
      </c>
      <c r="G5" s="20">
        <v>5361.2947416666657</v>
      </c>
      <c r="H5" s="30">
        <f>+F5+G5</f>
        <v>115238.29474166667</v>
      </c>
      <c r="I5" s="20">
        <v>167938.97</v>
      </c>
      <c r="J5" s="20">
        <v>7822.0663845833242</v>
      </c>
      <c r="K5" s="30">
        <f>+I5+J5</f>
        <v>175761.03638458333</v>
      </c>
      <c r="L5" s="30"/>
      <c r="M5" s="30">
        <f>+F5+I5</f>
        <v>277815.96999999997</v>
      </c>
      <c r="N5" s="30">
        <f>+G5+J5</f>
        <v>13183.361126249991</v>
      </c>
      <c r="P5" s="20">
        <f>260571+161775</f>
        <v>422346</v>
      </c>
      <c r="Q5" s="20">
        <v>15925</v>
      </c>
    </row>
    <row r="6" spans="1:17" ht="15" thickBot="1" x14ac:dyDescent="0.35">
      <c r="A6" s="3" t="s">
        <v>4</v>
      </c>
      <c r="B6" s="4">
        <v>1551</v>
      </c>
      <c r="C6" s="20">
        <f>-5206-1958</f>
        <v>-7164</v>
      </c>
      <c r="D6" s="20">
        <f>-243-93</f>
        <v>-336</v>
      </c>
      <c r="F6" s="20">
        <v>-1958</v>
      </c>
      <c r="G6" s="20">
        <v>-93.270358333333334</v>
      </c>
      <c r="H6" s="30">
        <f t="shared" ref="H6:H21" si="0">+F6+G6</f>
        <v>-2051.2703583333332</v>
      </c>
      <c r="I6" s="20">
        <v>-5205.83</v>
      </c>
      <c r="J6" s="20">
        <v>-242.88250216666665</v>
      </c>
      <c r="K6" s="30">
        <f t="shared" ref="K6:K21" si="1">+I6+J6</f>
        <v>-5448.712502166667</v>
      </c>
      <c r="L6" s="30"/>
      <c r="M6" s="30">
        <f t="shared" ref="M6:M21" si="2">+F6+I6</f>
        <v>-7163.83</v>
      </c>
      <c r="N6" s="30">
        <f t="shared" ref="N6:N21" si="3">+G6+J6</f>
        <v>-336.15286049999997</v>
      </c>
      <c r="P6" s="20">
        <f>-3129-439</f>
        <v>-3568</v>
      </c>
      <c r="Q6" s="20">
        <v>-140</v>
      </c>
    </row>
    <row r="7" spans="1:17" ht="17.399999999999999" thickBot="1" x14ac:dyDescent="0.35">
      <c r="A7" s="3" t="s">
        <v>5</v>
      </c>
      <c r="B7" s="4">
        <v>1580</v>
      </c>
      <c r="C7" s="20">
        <f>-128594-42446</f>
        <v>-171040</v>
      </c>
      <c r="D7" s="20">
        <f>-5881-2093</f>
        <v>-7974</v>
      </c>
      <c r="F7" s="20">
        <v>-42445</v>
      </c>
      <c r="G7" s="20">
        <v>-2092.7258833333335</v>
      </c>
      <c r="H7" s="30">
        <f t="shared" si="0"/>
        <v>-44537.725883333333</v>
      </c>
      <c r="I7" s="20">
        <v>-128594.27000000002</v>
      </c>
      <c r="J7" s="20">
        <v>-5881.3372744999997</v>
      </c>
      <c r="K7" s="30">
        <f t="shared" si="1"/>
        <v>-134475.60727450001</v>
      </c>
      <c r="L7" s="30"/>
      <c r="M7" s="30">
        <f t="shared" si="2"/>
        <v>-171039.27000000002</v>
      </c>
      <c r="N7" s="30">
        <f t="shared" si="3"/>
        <v>-7974.0631578333332</v>
      </c>
      <c r="P7" s="20">
        <f>-600128-77472</f>
        <v>-677600</v>
      </c>
      <c r="Q7" s="20">
        <v>-30832</v>
      </c>
    </row>
    <row r="8" spans="1:17" ht="17.399999999999999" thickBot="1" x14ac:dyDescent="0.35">
      <c r="A8" s="3" t="s">
        <v>6</v>
      </c>
      <c r="B8" s="4">
        <v>1580</v>
      </c>
      <c r="C8" s="21"/>
      <c r="D8" s="22"/>
      <c r="F8" s="22">
        <v>0</v>
      </c>
      <c r="G8" s="22">
        <v>0</v>
      </c>
      <c r="H8" s="30">
        <f t="shared" si="0"/>
        <v>0</v>
      </c>
      <c r="I8" s="22">
        <v>0</v>
      </c>
      <c r="J8" s="22">
        <v>0</v>
      </c>
      <c r="K8" s="30">
        <f t="shared" si="1"/>
        <v>0</v>
      </c>
      <c r="L8" s="30"/>
      <c r="M8" s="30">
        <f t="shared" si="2"/>
        <v>0</v>
      </c>
      <c r="N8" s="30">
        <f t="shared" si="3"/>
        <v>0</v>
      </c>
      <c r="P8" s="22"/>
      <c r="Q8" s="22"/>
    </row>
    <row r="9" spans="1:17" ht="17.399999999999999" thickBot="1" x14ac:dyDescent="0.35">
      <c r="A9" s="3" t="s">
        <v>7</v>
      </c>
      <c r="B9" s="4">
        <v>1580</v>
      </c>
      <c r="C9" s="21">
        <f>-1538-1989</f>
        <v>-3527</v>
      </c>
      <c r="D9" s="22">
        <f>-4904-115</f>
        <v>-5019</v>
      </c>
      <c r="F9" s="22">
        <v>-1989</v>
      </c>
      <c r="G9" s="22">
        <v>-114.76335833333334</v>
      </c>
      <c r="H9" s="30">
        <f t="shared" si="0"/>
        <v>-2103.7633583333331</v>
      </c>
      <c r="I9" s="22">
        <v>-1537.6399999999994</v>
      </c>
      <c r="J9" s="22">
        <v>-4903.6676756666666</v>
      </c>
      <c r="K9" s="30">
        <f t="shared" si="1"/>
        <v>-6441.307675666666</v>
      </c>
      <c r="L9" s="30"/>
      <c r="M9" s="30">
        <f t="shared" si="2"/>
        <v>-3526.6399999999994</v>
      </c>
      <c r="N9" s="30">
        <f t="shared" si="3"/>
        <v>-5018.4310340000002</v>
      </c>
      <c r="P9" s="22">
        <f>-17721-1865</f>
        <v>-19586</v>
      </c>
      <c r="Q9" s="22">
        <v>-612</v>
      </c>
    </row>
    <row r="10" spans="1:17" ht="15" thickBot="1" x14ac:dyDescent="0.35">
      <c r="A10" s="3" t="s">
        <v>8</v>
      </c>
      <c r="B10" s="4">
        <v>1584</v>
      </c>
      <c r="C10" s="20">
        <f>27397-33365</f>
        <v>-5968</v>
      </c>
      <c r="D10" s="20">
        <f>1329-1335</f>
        <v>-6</v>
      </c>
      <c r="F10" s="20">
        <v>-33365</v>
      </c>
      <c r="G10" s="20">
        <v>-1335.6832750000001</v>
      </c>
      <c r="H10" s="30">
        <f t="shared" si="0"/>
        <v>-34700.683275000003</v>
      </c>
      <c r="I10" s="20">
        <v>27397.33</v>
      </c>
      <c r="J10" s="20">
        <v>1329.4383855000001</v>
      </c>
      <c r="K10" s="30">
        <f t="shared" si="1"/>
        <v>28726.768385500003</v>
      </c>
      <c r="L10" s="30"/>
      <c r="M10" s="30">
        <f t="shared" si="2"/>
        <v>-5967.6699999999983</v>
      </c>
      <c r="N10" s="30">
        <f t="shared" si="3"/>
        <v>-6.2448894999999993</v>
      </c>
      <c r="P10" s="20">
        <f>-114440+137329</f>
        <v>22889</v>
      </c>
      <c r="Q10" s="20">
        <v>-419</v>
      </c>
    </row>
    <row r="11" spans="1:17" ht="15" thickBot="1" x14ac:dyDescent="0.35">
      <c r="A11" s="5" t="s">
        <v>9</v>
      </c>
      <c r="B11" s="4">
        <v>1586</v>
      </c>
      <c r="C11" s="20">
        <f>32821-28262</f>
        <v>4559</v>
      </c>
      <c r="D11" s="20">
        <f>1705-1143</f>
        <v>562</v>
      </c>
      <c r="F11" s="20">
        <v>-28262</v>
      </c>
      <c r="G11" s="20">
        <v>-1142.9173666666666</v>
      </c>
      <c r="H11" s="30">
        <f t="shared" si="0"/>
        <v>-29404.917366666668</v>
      </c>
      <c r="I11" s="20">
        <v>32820.800000000003</v>
      </c>
      <c r="J11" s="20">
        <v>1705.3113966666667</v>
      </c>
      <c r="K11" s="30">
        <f t="shared" si="1"/>
        <v>34526.111396666667</v>
      </c>
      <c r="L11" s="30"/>
      <c r="M11" s="30">
        <f t="shared" si="2"/>
        <v>4558.8000000000029</v>
      </c>
      <c r="N11" s="30">
        <f t="shared" si="3"/>
        <v>562.39403000000016</v>
      </c>
      <c r="P11" s="20">
        <f>47070+109560</f>
        <v>156630</v>
      </c>
      <c r="Q11" s="20">
        <v>6213</v>
      </c>
    </row>
    <row r="12" spans="1:17" ht="17.399999999999999" thickBot="1" x14ac:dyDescent="0.35">
      <c r="A12" s="6" t="s">
        <v>10</v>
      </c>
      <c r="B12" s="4">
        <v>1588</v>
      </c>
      <c r="C12" s="20">
        <f>194801+57259</f>
        <v>252060</v>
      </c>
      <c r="D12" s="20">
        <f>7241+2097</f>
        <v>9338</v>
      </c>
      <c r="F12" s="20">
        <v>57259</v>
      </c>
      <c r="G12" s="20">
        <v>2097.07465</v>
      </c>
      <c r="H12" s="30">
        <f t="shared" si="0"/>
        <v>59356.074650000002</v>
      </c>
      <c r="I12" s="20">
        <v>194800.84999999998</v>
      </c>
      <c r="J12" s="20">
        <v>7240.8826224999993</v>
      </c>
      <c r="K12" s="30">
        <f t="shared" si="1"/>
        <v>202041.73262249999</v>
      </c>
      <c r="L12" s="30"/>
      <c r="M12" s="30">
        <f t="shared" si="2"/>
        <v>252059.84999999998</v>
      </c>
      <c r="N12" s="30">
        <f t="shared" si="3"/>
        <v>9337.9572724999998</v>
      </c>
      <c r="P12" s="20">
        <f>-474193-120080</f>
        <v>-594273</v>
      </c>
      <c r="Q12" s="20">
        <v>59573</v>
      </c>
    </row>
    <row r="13" spans="1:17" ht="17.399999999999999" thickBot="1" x14ac:dyDescent="0.35">
      <c r="A13" s="6" t="s">
        <v>11</v>
      </c>
      <c r="B13" s="4">
        <v>1589</v>
      </c>
      <c r="C13" s="20">
        <f>-125001+3877</f>
        <v>-121124</v>
      </c>
      <c r="D13" s="20">
        <f>101098+724</f>
        <v>101822</v>
      </c>
      <c r="F13" s="20">
        <v>3878</v>
      </c>
      <c r="G13" s="20">
        <v>723.69814999999994</v>
      </c>
      <c r="H13" s="30">
        <f t="shared" si="0"/>
        <v>4601.6981500000002</v>
      </c>
      <c r="I13" s="20">
        <v>-125001.48999999999</v>
      </c>
      <c r="J13" s="20">
        <v>101098.03211850001</v>
      </c>
      <c r="K13" s="30">
        <f t="shared" si="1"/>
        <v>-23903.457881499984</v>
      </c>
      <c r="L13" s="30"/>
      <c r="M13" s="30">
        <f t="shared" si="2"/>
        <v>-121123.48999999999</v>
      </c>
      <c r="N13" s="30">
        <f t="shared" si="3"/>
        <v>101821.7302685</v>
      </c>
      <c r="P13" s="20">
        <f>362864+32054</f>
        <v>394918</v>
      </c>
      <c r="Q13" s="20">
        <v>-70983</v>
      </c>
    </row>
    <row r="14" spans="1:17" ht="17.399999999999999" thickBot="1" x14ac:dyDescent="0.35">
      <c r="A14" s="6" t="s">
        <v>12</v>
      </c>
      <c r="B14" s="4">
        <v>1595</v>
      </c>
      <c r="C14" s="20"/>
      <c r="D14" s="20"/>
      <c r="F14" s="20">
        <v>0</v>
      </c>
      <c r="G14" s="20">
        <v>0</v>
      </c>
      <c r="H14" s="30">
        <f t="shared" si="0"/>
        <v>0</v>
      </c>
      <c r="I14" s="20"/>
      <c r="J14" s="20"/>
      <c r="K14" s="30">
        <f t="shared" si="1"/>
        <v>0</v>
      </c>
      <c r="L14" s="30"/>
      <c r="M14" s="30">
        <f t="shared" si="2"/>
        <v>0</v>
      </c>
      <c r="N14" s="30">
        <f t="shared" si="3"/>
        <v>0</v>
      </c>
      <c r="P14" s="20"/>
      <c r="Q14" s="20"/>
    </row>
    <row r="15" spans="1:17" ht="17.399999999999999" thickBot="1" x14ac:dyDescent="0.35">
      <c r="A15" s="6" t="s">
        <v>13</v>
      </c>
      <c r="B15" s="4">
        <v>1595</v>
      </c>
      <c r="C15" s="20"/>
      <c r="D15" s="20"/>
      <c r="F15" s="20">
        <v>0</v>
      </c>
      <c r="G15" s="20">
        <v>0</v>
      </c>
      <c r="H15" s="30">
        <f t="shared" si="0"/>
        <v>0</v>
      </c>
      <c r="I15" s="20"/>
      <c r="J15" s="20"/>
      <c r="K15" s="30">
        <f t="shared" si="1"/>
        <v>0</v>
      </c>
      <c r="L15" s="30"/>
      <c r="M15" s="30">
        <f t="shared" si="2"/>
        <v>0</v>
      </c>
      <c r="N15" s="30">
        <f t="shared" si="3"/>
        <v>0</v>
      </c>
      <c r="P15" s="20"/>
      <c r="Q15" s="20"/>
    </row>
    <row r="16" spans="1:17" ht="17.399999999999999" thickBot="1" x14ac:dyDescent="0.35">
      <c r="A16" s="6" t="s">
        <v>14</v>
      </c>
      <c r="B16" s="4">
        <v>1595</v>
      </c>
      <c r="C16" s="20"/>
      <c r="D16" s="20"/>
      <c r="F16" s="20">
        <v>0</v>
      </c>
      <c r="G16" s="20">
        <v>0</v>
      </c>
      <c r="H16" s="30">
        <f t="shared" si="0"/>
        <v>0</v>
      </c>
      <c r="I16" s="20"/>
      <c r="J16" s="20"/>
      <c r="K16" s="30">
        <f t="shared" si="1"/>
        <v>0</v>
      </c>
      <c r="L16" s="30"/>
      <c r="M16" s="30">
        <f t="shared" si="2"/>
        <v>0</v>
      </c>
      <c r="N16" s="30">
        <f t="shared" si="3"/>
        <v>0</v>
      </c>
      <c r="P16" s="20"/>
      <c r="Q16" s="20"/>
    </row>
    <row r="17" spans="1:18" ht="17.399999999999999" thickBot="1" x14ac:dyDescent="0.35">
      <c r="A17" s="6" t="s">
        <v>15</v>
      </c>
      <c r="B17" s="4">
        <v>1595</v>
      </c>
      <c r="C17" s="20"/>
      <c r="D17" s="20"/>
      <c r="F17" s="20">
        <v>0</v>
      </c>
      <c r="G17" s="20">
        <v>0</v>
      </c>
      <c r="H17" s="30">
        <f t="shared" si="0"/>
        <v>0</v>
      </c>
      <c r="I17" s="20"/>
      <c r="J17" s="20"/>
      <c r="K17" s="30">
        <f t="shared" si="1"/>
        <v>0</v>
      </c>
      <c r="L17" s="30"/>
      <c r="M17" s="30">
        <f t="shared" si="2"/>
        <v>0</v>
      </c>
      <c r="N17" s="30">
        <f t="shared" si="3"/>
        <v>0</v>
      </c>
      <c r="P17" s="20">
        <f>-1173295+624365-346642+339407</f>
        <v>-556165</v>
      </c>
      <c r="Q17" s="20">
        <v>499528</v>
      </c>
    </row>
    <row r="18" spans="1:18" ht="17.399999999999999" thickBot="1" x14ac:dyDescent="0.35">
      <c r="A18" s="6" t="s">
        <v>16</v>
      </c>
      <c r="B18" s="4">
        <v>1595</v>
      </c>
      <c r="C18" s="20">
        <v>69995</v>
      </c>
      <c r="D18" s="20">
        <v>-8550</v>
      </c>
      <c r="F18" s="20">
        <v>69994.559999999998</v>
      </c>
      <c r="G18" s="20">
        <v>-8550.3716640000021</v>
      </c>
      <c r="H18" s="30">
        <f t="shared" si="0"/>
        <v>61444.188335999992</v>
      </c>
      <c r="I18" s="20"/>
      <c r="J18" s="20"/>
      <c r="K18" s="30">
        <f t="shared" si="1"/>
        <v>0</v>
      </c>
      <c r="L18" s="30"/>
      <c r="M18" s="30">
        <f t="shared" si="2"/>
        <v>69994.559999999998</v>
      </c>
      <c r="N18" s="30">
        <f t="shared" si="3"/>
        <v>-8550.3716640000021</v>
      </c>
      <c r="P18" s="20"/>
      <c r="Q18" s="20"/>
    </row>
    <row r="19" spans="1:18" ht="17.399999999999999" thickBot="1" x14ac:dyDescent="0.35">
      <c r="A19" s="6" t="s">
        <v>17</v>
      </c>
      <c r="B19" s="4">
        <v>1595</v>
      </c>
      <c r="C19" s="20"/>
      <c r="D19" s="20"/>
      <c r="F19" s="31">
        <v>36144</v>
      </c>
      <c r="G19" s="31">
        <v>12192.026400000001</v>
      </c>
      <c r="H19" s="32">
        <f t="shared" si="0"/>
        <v>48336.026400000002</v>
      </c>
      <c r="I19" s="20"/>
      <c r="J19" s="20"/>
      <c r="K19" s="30">
        <f t="shared" si="1"/>
        <v>0</v>
      </c>
      <c r="L19" s="30"/>
      <c r="M19" s="30">
        <v>0</v>
      </c>
      <c r="N19" s="30">
        <v>0</v>
      </c>
      <c r="P19" s="20"/>
      <c r="Q19" s="20"/>
    </row>
    <row r="20" spans="1:18" ht="15" customHeight="1" thickBot="1" x14ac:dyDescent="0.35">
      <c r="A20" s="7" t="s">
        <v>18</v>
      </c>
      <c r="B20" s="4">
        <v>1595</v>
      </c>
      <c r="C20" s="20">
        <v>0</v>
      </c>
      <c r="D20" s="20">
        <v>0</v>
      </c>
      <c r="F20" s="20">
        <v>0</v>
      </c>
      <c r="G20" s="20">
        <v>0</v>
      </c>
      <c r="H20" s="30">
        <f t="shared" si="0"/>
        <v>0</v>
      </c>
      <c r="I20" s="20"/>
      <c r="J20" s="20"/>
      <c r="K20" s="30">
        <f t="shared" si="1"/>
        <v>0</v>
      </c>
      <c r="L20" s="30"/>
      <c r="M20" s="30">
        <f t="shared" si="2"/>
        <v>0</v>
      </c>
      <c r="N20" s="30">
        <f t="shared" si="3"/>
        <v>0</v>
      </c>
      <c r="P20" s="20">
        <f>1095271-374056+133195-40534-272006</f>
        <v>541870</v>
      </c>
      <c r="Q20" s="20">
        <v>-494469</v>
      </c>
      <c r="R20" t="s">
        <v>34</v>
      </c>
    </row>
    <row r="21" spans="1:18" ht="42.6" customHeight="1" thickBot="1" x14ac:dyDescent="0.35">
      <c r="A21" s="8" t="s">
        <v>19</v>
      </c>
      <c r="B21" s="4">
        <v>1595</v>
      </c>
      <c r="C21" s="20">
        <v>-530769</v>
      </c>
      <c r="D21" s="20">
        <v>-118311</v>
      </c>
      <c r="F21" s="20">
        <v>0</v>
      </c>
      <c r="G21" s="20">
        <v>0</v>
      </c>
      <c r="H21" s="30">
        <f t="shared" si="0"/>
        <v>0</v>
      </c>
      <c r="I21" s="20"/>
      <c r="J21" s="20"/>
      <c r="K21" s="30">
        <f t="shared" si="1"/>
        <v>0</v>
      </c>
      <c r="L21" s="30"/>
      <c r="M21" s="30">
        <f t="shared" si="2"/>
        <v>0</v>
      </c>
      <c r="N21" s="30">
        <f t="shared" si="3"/>
        <v>0</v>
      </c>
      <c r="P21" s="20"/>
      <c r="Q21" s="20"/>
    </row>
    <row r="22" spans="1:18" x14ac:dyDescent="0.3">
      <c r="A22" s="6"/>
      <c r="B22" s="4"/>
      <c r="C22" s="23"/>
      <c r="D22" s="24"/>
      <c r="F22" s="24"/>
      <c r="G22" s="24"/>
      <c r="I22" s="24"/>
      <c r="J22" s="24"/>
      <c r="P22" s="24"/>
      <c r="Q22" s="24"/>
    </row>
    <row r="23" spans="1:18" x14ac:dyDescent="0.3">
      <c r="A23" s="9" t="s">
        <v>20</v>
      </c>
      <c r="B23" s="10">
        <v>1589</v>
      </c>
      <c r="C23" s="25">
        <f t="shared" ref="C23:D23" si="4">C13</f>
        <v>-121124</v>
      </c>
      <c r="D23" s="26">
        <f t="shared" si="4"/>
        <v>101822</v>
      </c>
      <c r="F23" s="26">
        <f t="shared" ref="F23:G23" si="5">F13</f>
        <v>3878</v>
      </c>
      <c r="G23" s="26">
        <f t="shared" si="5"/>
        <v>723.69814999999994</v>
      </c>
      <c r="H23" s="26">
        <f t="shared" ref="H23" si="6">H13</f>
        <v>4601.6981500000002</v>
      </c>
      <c r="I23" s="26">
        <f t="shared" ref="I23:J23" si="7">I13</f>
        <v>-125001.48999999999</v>
      </c>
      <c r="J23" s="26">
        <f t="shared" si="7"/>
        <v>101098.03211850001</v>
      </c>
      <c r="K23" s="26">
        <f t="shared" ref="K23:N23" si="8">K13</f>
        <v>-23903.457881499984</v>
      </c>
      <c r="L23" s="26"/>
      <c r="M23" s="26">
        <f t="shared" si="8"/>
        <v>-121123.48999999999</v>
      </c>
      <c r="N23" s="26">
        <f t="shared" si="8"/>
        <v>101821.7302685</v>
      </c>
      <c r="P23" s="26">
        <f t="shared" ref="P23" si="9">P13</f>
        <v>394918</v>
      </c>
      <c r="Q23" s="26">
        <v>-70983</v>
      </c>
    </row>
    <row r="24" spans="1:18" x14ac:dyDescent="0.3">
      <c r="A24" s="11" t="s">
        <v>21</v>
      </c>
      <c r="B24" s="12"/>
      <c r="C24" s="25">
        <f t="shared" ref="C24:D24" si="10">SUM(C5:C21)-C13</f>
        <v>-114037</v>
      </c>
      <c r="D24" s="26">
        <f t="shared" si="10"/>
        <v>-117113</v>
      </c>
      <c r="F24" s="26">
        <f t="shared" ref="F24:G24" si="11">SUM(F5:F21)-F13</f>
        <v>165255.56</v>
      </c>
      <c r="G24" s="26">
        <f t="shared" si="11"/>
        <v>6320.6638859999975</v>
      </c>
      <c r="H24" s="26">
        <f t="shared" ref="H24" si="12">SUM(H5:H21)-H13</f>
        <v>171576.22388599999</v>
      </c>
      <c r="I24" s="26">
        <f t="shared" ref="I24:J24" si="13">SUM(I5:I21)-I13</f>
        <v>287620.20999999996</v>
      </c>
      <c r="J24" s="26">
        <f t="shared" si="13"/>
        <v>7069.8113369166531</v>
      </c>
      <c r="K24" s="26">
        <f t="shared" ref="K24:N24" si="14">SUM(K5:K21)-K13</f>
        <v>294690.02133691672</v>
      </c>
      <c r="L24" s="26"/>
      <c r="M24" s="26">
        <f t="shared" si="14"/>
        <v>416731.7699999999</v>
      </c>
      <c r="N24" s="26">
        <f t="shared" si="14"/>
        <v>1198.4488229166454</v>
      </c>
      <c r="P24" s="26">
        <f t="shared" ref="P24" si="15">SUM(P5:P21)-P13</f>
        <v>-707457</v>
      </c>
      <c r="Q24" s="26">
        <v>54767</v>
      </c>
    </row>
    <row r="25" spans="1:18" x14ac:dyDescent="0.3">
      <c r="A25" s="11" t="s">
        <v>22</v>
      </c>
      <c r="B25" s="12"/>
      <c r="C25" s="25">
        <f>SUM(C23,C24)</f>
        <v>-235161</v>
      </c>
      <c r="D25" s="26">
        <f t="shared" ref="D25:F25" si="16">SUM(D23,D24)</f>
        <v>-15291</v>
      </c>
      <c r="F25" s="26">
        <f t="shared" si="16"/>
        <v>169133.56</v>
      </c>
      <c r="G25" s="26">
        <f t="shared" ref="G25:H25" si="17">SUM(G23,G24)</f>
        <v>7044.3620359999977</v>
      </c>
      <c r="H25" s="26">
        <f t="shared" si="17"/>
        <v>176177.922036</v>
      </c>
      <c r="I25" s="26">
        <f t="shared" ref="I25:J25" si="18">SUM(I23,I24)</f>
        <v>162618.71999999997</v>
      </c>
      <c r="J25" s="26">
        <f t="shared" si="18"/>
        <v>108167.84345541666</v>
      </c>
      <c r="K25" s="26">
        <f t="shared" ref="K25:N25" si="19">SUM(K23,K24)</f>
        <v>270786.5634554167</v>
      </c>
      <c r="L25" s="26"/>
      <c r="M25" s="26">
        <f t="shared" si="19"/>
        <v>295608.27999999991</v>
      </c>
      <c r="N25" s="26">
        <f t="shared" si="19"/>
        <v>103020.17909141665</v>
      </c>
      <c r="P25" s="26">
        <f>SUM(P23,P24)</f>
        <v>-312539</v>
      </c>
      <c r="Q25" s="26">
        <v>-16216</v>
      </c>
    </row>
    <row r="26" spans="1:18" ht="15" thickBot="1" x14ac:dyDescent="0.35">
      <c r="A26" s="3"/>
      <c r="B26" s="13"/>
      <c r="C26" s="27"/>
      <c r="D26" s="28"/>
      <c r="F26" s="28"/>
      <c r="G26" s="28"/>
      <c r="I26" s="28"/>
      <c r="J26" s="28"/>
      <c r="O26" t="s">
        <v>29</v>
      </c>
      <c r="P26" s="28"/>
      <c r="Q26" s="28"/>
    </row>
    <row r="27" spans="1:18" ht="15" thickBot="1" x14ac:dyDescent="0.35">
      <c r="A27" s="14" t="s">
        <v>23</v>
      </c>
      <c r="B27" s="15">
        <v>1568</v>
      </c>
      <c r="C27" s="20">
        <v>235161</v>
      </c>
      <c r="D27" s="20">
        <f>9909+5382</f>
        <v>15291</v>
      </c>
      <c r="F27" s="20">
        <v>77355</v>
      </c>
      <c r="G27" s="20">
        <v>5382</v>
      </c>
      <c r="H27" s="30">
        <f>+F27+G27</f>
        <v>82737</v>
      </c>
      <c r="I27" s="20">
        <v>157806</v>
      </c>
      <c r="J27" s="20">
        <v>9909</v>
      </c>
      <c r="K27" s="30">
        <f t="shared" ref="K27" si="20">+I27+J27</f>
        <v>167715</v>
      </c>
      <c r="L27" s="30"/>
      <c r="M27" s="30">
        <f t="shared" ref="M27" si="21">+F27+I27</f>
        <v>235161</v>
      </c>
      <c r="N27" s="30">
        <f t="shared" ref="N27" si="22">+G27+J27</f>
        <v>15291</v>
      </c>
      <c r="P27" s="20">
        <v>0</v>
      </c>
      <c r="Q27" s="20"/>
    </row>
    <row r="28" spans="1:18" x14ac:dyDescent="0.3">
      <c r="A28" s="14"/>
      <c r="B28" s="15"/>
      <c r="C28" s="27"/>
      <c r="D28" s="28"/>
      <c r="F28" s="28"/>
      <c r="G28" s="28"/>
      <c r="I28" s="28"/>
      <c r="J28" s="28"/>
      <c r="P28" s="28"/>
      <c r="Q28" s="28"/>
    </row>
    <row r="29" spans="1:18" ht="15" thickBot="1" x14ac:dyDescent="0.35">
      <c r="A29" s="16" t="s">
        <v>24</v>
      </c>
      <c r="B29" s="17"/>
      <c r="C29" s="29">
        <f t="shared" ref="C29:H29" si="23">SUM(C25,C27)</f>
        <v>0</v>
      </c>
      <c r="D29" s="29">
        <f t="shared" si="23"/>
        <v>0</v>
      </c>
      <c r="F29" s="29">
        <f t="shared" si="23"/>
        <v>246488.56</v>
      </c>
      <c r="G29" s="29">
        <f t="shared" si="23"/>
        <v>12426.362035999999</v>
      </c>
      <c r="H29" s="29">
        <f t="shared" si="23"/>
        <v>258914.922036</v>
      </c>
      <c r="I29" s="29">
        <f t="shared" ref="I29:J29" si="24">SUM(I25,I27)</f>
        <v>320424.71999999997</v>
      </c>
      <c r="J29" s="29">
        <f t="shared" si="24"/>
        <v>118076.84345541666</v>
      </c>
      <c r="M29" s="29">
        <f t="shared" ref="M29:N29" si="25">SUM(M25,M27)</f>
        <v>530769.27999999991</v>
      </c>
      <c r="N29" s="29">
        <f t="shared" si="25"/>
        <v>118311.17909141665</v>
      </c>
      <c r="P29" s="29">
        <f t="shared" ref="P29" si="26">SUM(P25,P27)</f>
        <v>-312539</v>
      </c>
      <c r="Q29" s="29">
        <v>-16216</v>
      </c>
      <c r="R29" t="s">
        <v>33</v>
      </c>
    </row>
  </sheetData>
  <mergeCells count="6">
    <mergeCell ref="Q1:Q3"/>
    <mergeCell ref="A1:A3"/>
    <mergeCell ref="B1:B3"/>
    <mergeCell ref="C1:C3"/>
    <mergeCell ref="D1:D3"/>
    <mergeCell ref="P1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C4D1F-EB74-4A70-848E-BA31ED4F5466}">
  <dimension ref="A1:R77"/>
  <sheetViews>
    <sheetView tabSelected="1" topLeftCell="A69" workbookViewId="0">
      <selection activeCell="A83" sqref="A83"/>
    </sheetView>
  </sheetViews>
  <sheetFormatPr defaultRowHeight="14.4" x14ac:dyDescent="0.3"/>
  <cols>
    <col min="1" max="1" width="70.88671875" customWidth="1"/>
    <col min="2" max="2" width="15.88671875" bestFit="1" customWidth="1"/>
    <col min="3" max="3" width="16.33203125" customWidth="1"/>
    <col min="4" max="4" width="14.44140625" customWidth="1"/>
    <col min="5" max="5" width="15" customWidth="1"/>
    <col min="6" max="7" width="11.109375" customWidth="1"/>
    <col min="9" max="10" width="11.109375" customWidth="1"/>
    <col min="13" max="13" width="11.109375" customWidth="1"/>
    <col min="16" max="16" width="15" customWidth="1"/>
    <col min="17" max="17" width="14.33203125" customWidth="1"/>
    <col min="18" max="18" width="37" customWidth="1"/>
  </cols>
  <sheetData>
    <row r="1" spans="1:17" x14ac:dyDescent="0.3">
      <c r="A1" s="34" t="s">
        <v>0</v>
      </c>
      <c r="B1" s="36" t="s">
        <v>1</v>
      </c>
      <c r="C1" s="38" t="s">
        <v>30</v>
      </c>
      <c r="D1" s="41" t="s">
        <v>32</v>
      </c>
      <c r="P1" s="38" t="s">
        <v>30</v>
      </c>
      <c r="Q1" s="41" t="s">
        <v>32</v>
      </c>
    </row>
    <row r="2" spans="1:17" x14ac:dyDescent="0.3">
      <c r="A2" s="35"/>
      <c r="B2" s="37"/>
      <c r="C2" s="39"/>
      <c r="D2" s="42"/>
      <c r="P2" s="39"/>
      <c r="Q2" s="42"/>
    </row>
    <row r="3" spans="1:17" ht="34.200000000000003" customHeight="1" thickBot="1" x14ac:dyDescent="0.35">
      <c r="A3" s="35"/>
      <c r="B3" s="37"/>
      <c r="C3" s="40"/>
      <c r="D3" s="43"/>
      <c r="F3" s="44" t="s">
        <v>35</v>
      </c>
      <c r="G3" s="44"/>
      <c r="H3" s="45"/>
      <c r="I3" s="44" t="s">
        <v>36</v>
      </c>
      <c r="J3" s="44"/>
      <c r="K3" s="45"/>
      <c r="P3" s="40"/>
      <c r="Q3" s="43"/>
    </row>
    <row r="4" spans="1:17" ht="23.4" thickBot="1" x14ac:dyDescent="0.35">
      <c r="A4" s="1" t="s">
        <v>2</v>
      </c>
      <c r="B4" s="2"/>
      <c r="C4" s="18"/>
      <c r="D4" s="19"/>
      <c r="P4" s="33" t="s">
        <v>31</v>
      </c>
      <c r="Q4" s="33" t="s">
        <v>31</v>
      </c>
    </row>
    <row r="5" spans="1:17" ht="15" thickBot="1" x14ac:dyDescent="0.35">
      <c r="A5" s="3" t="s">
        <v>3</v>
      </c>
      <c r="B5" s="4">
        <v>1550</v>
      </c>
      <c r="C5" s="46">
        <f>+F5+I5</f>
        <v>422345</v>
      </c>
      <c r="D5" s="20">
        <f>+G5+J5</f>
        <v>15926</v>
      </c>
      <c r="F5" s="55">
        <v>161774</v>
      </c>
      <c r="G5" s="56">
        <v>4481</v>
      </c>
      <c r="H5" s="57">
        <f>+F5+G5</f>
        <v>166255</v>
      </c>
      <c r="I5" s="55">
        <v>260571</v>
      </c>
      <c r="J5" s="56">
        <v>11445</v>
      </c>
      <c r="K5" s="57">
        <f>+I5+J5</f>
        <v>272016</v>
      </c>
      <c r="L5" s="30"/>
      <c r="M5" s="30">
        <f>+F5+I5</f>
        <v>422345</v>
      </c>
      <c r="N5" s="30">
        <f>+G5+J5</f>
        <v>15926</v>
      </c>
      <c r="P5" s="20">
        <f>260571+161775</f>
        <v>422346</v>
      </c>
      <c r="Q5" s="20">
        <v>15925</v>
      </c>
    </row>
    <row r="6" spans="1:17" ht="15" thickBot="1" x14ac:dyDescent="0.35">
      <c r="A6" s="3" t="s">
        <v>4</v>
      </c>
      <c r="B6" s="4">
        <v>1551</v>
      </c>
      <c r="C6" s="46">
        <f t="shared" ref="C6:C21" si="0">+F6+I6</f>
        <v>-3568</v>
      </c>
      <c r="D6" s="20">
        <f t="shared" ref="D6:D21" si="1">+G6+J6</f>
        <v>-140</v>
      </c>
      <c r="F6" s="58">
        <v>-439</v>
      </c>
      <c r="G6" s="20">
        <v>-12</v>
      </c>
      <c r="H6" s="59">
        <f t="shared" ref="H6:H21" si="2">+F6+G6</f>
        <v>-451</v>
      </c>
      <c r="I6" s="58">
        <v>-3129</v>
      </c>
      <c r="J6" s="20">
        <v>-128</v>
      </c>
      <c r="K6" s="59">
        <f t="shared" ref="K6:K21" si="3">+I6+J6</f>
        <v>-3257</v>
      </c>
      <c r="L6" s="30"/>
      <c r="M6" s="30">
        <f t="shared" ref="M6:N21" si="4">+F6+I6</f>
        <v>-3568</v>
      </c>
      <c r="N6" s="30">
        <f t="shared" si="4"/>
        <v>-140</v>
      </c>
      <c r="P6" s="20">
        <f>-3129-439</f>
        <v>-3568</v>
      </c>
      <c r="Q6" s="20">
        <v>-140</v>
      </c>
    </row>
    <row r="7" spans="1:17" ht="17.399999999999999" thickBot="1" x14ac:dyDescent="0.35">
      <c r="A7" s="3" t="s">
        <v>5</v>
      </c>
      <c r="B7" s="4">
        <v>1580</v>
      </c>
      <c r="C7" s="46">
        <f t="shared" si="0"/>
        <v>-677600</v>
      </c>
      <c r="D7" s="20">
        <f t="shared" si="1"/>
        <v>-30832</v>
      </c>
      <c r="F7" s="58">
        <v>-77472</v>
      </c>
      <c r="G7" s="20">
        <v>-3187</v>
      </c>
      <c r="H7" s="59">
        <f t="shared" si="2"/>
        <v>-80659</v>
      </c>
      <c r="I7" s="58">
        <v>-600128</v>
      </c>
      <c r="J7" s="20">
        <v>-27645</v>
      </c>
      <c r="K7" s="59">
        <f t="shared" si="3"/>
        <v>-627773</v>
      </c>
      <c r="L7" s="30"/>
      <c r="M7" s="30">
        <f t="shared" si="4"/>
        <v>-677600</v>
      </c>
      <c r="N7" s="30">
        <f t="shared" si="4"/>
        <v>-30832</v>
      </c>
      <c r="P7" s="20">
        <f>-600128-77472</f>
        <v>-677600</v>
      </c>
      <c r="Q7" s="20">
        <v>-30832</v>
      </c>
    </row>
    <row r="8" spans="1:17" ht="17.399999999999999" thickBot="1" x14ac:dyDescent="0.35">
      <c r="A8" s="3" t="s">
        <v>6</v>
      </c>
      <c r="B8" s="4">
        <v>1580</v>
      </c>
      <c r="C8" s="46">
        <f t="shared" si="0"/>
        <v>0</v>
      </c>
      <c r="D8" s="20">
        <f t="shared" si="1"/>
        <v>0</v>
      </c>
      <c r="F8" s="60">
        <v>0</v>
      </c>
      <c r="G8" s="22">
        <v>0</v>
      </c>
      <c r="H8" s="59">
        <f t="shared" si="2"/>
        <v>0</v>
      </c>
      <c r="I8" s="60">
        <v>0</v>
      </c>
      <c r="J8" s="22">
        <v>0</v>
      </c>
      <c r="K8" s="59">
        <f t="shared" si="3"/>
        <v>0</v>
      </c>
      <c r="L8" s="30"/>
      <c r="M8" s="30">
        <f t="shared" si="4"/>
        <v>0</v>
      </c>
      <c r="N8" s="30">
        <f t="shared" si="4"/>
        <v>0</v>
      </c>
      <c r="P8" s="22"/>
      <c r="Q8" s="22"/>
    </row>
    <row r="9" spans="1:17" ht="17.399999999999999" thickBot="1" x14ac:dyDescent="0.35">
      <c r="A9" s="3" t="s">
        <v>7</v>
      </c>
      <c r="B9" s="4">
        <v>1580</v>
      </c>
      <c r="C9" s="46">
        <f t="shared" si="0"/>
        <v>-19586</v>
      </c>
      <c r="D9" s="20">
        <f t="shared" si="1"/>
        <v>-612</v>
      </c>
      <c r="F9" s="60">
        <v>-1865</v>
      </c>
      <c r="G9" s="22">
        <v>168</v>
      </c>
      <c r="H9" s="59">
        <f t="shared" si="2"/>
        <v>-1697</v>
      </c>
      <c r="I9" s="60">
        <v>-17721</v>
      </c>
      <c r="J9" s="22">
        <v>-780</v>
      </c>
      <c r="K9" s="59">
        <f t="shared" si="3"/>
        <v>-18501</v>
      </c>
      <c r="L9" s="30"/>
      <c r="M9" s="30">
        <f t="shared" si="4"/>
        <v>-19586</v>
      </c>
      <c r="N9" s="30">
        <f t="shared" si="4"/>
        <v>-612</v>
      </c>
      <c r="P9" s="22">
        <f>-17721-1865</f>
        <v>-19586</v>
      </c>
      <c r="Q9" s="22">
        <v>-612</v>
      </c>
    </row>
    <row r="10" spans="1:17" ht="15" thickBot="1" x14ac:dyDescent="0.35">
      <c r="A10" s="3" t="s">
        <v>8</v>
      </c>
      <c r="B10" s="4">
        <v>1584</v>
      </c>
      <c r="C10" s="46">
        <f t="shared" si="0"/>
        <v>22889</v>
      </c>
      <c r="D10" s="20">
        <f t="shared" si="1"/>
        <v>-419</v>
      </c>
      <c r="F10" s="58">
        <v>137329</v>
      </c>
      <c r="G10" s="20">
        <v>4572</v>
      </c>
      <c r="H10" s="59">
        <f t="shared" si="2"/>
        <v>141901</v>
      </c>
      <c r="I10" s="58">
        <v>-114440</v>
      </c>
      <c r="J10" s="20">
        <v>-4991</v>
      </c>
      <c r="K10" s="59">
        <f t="shared" si="3"/>
        <v>-119431</v>
      </c>
      <c r="L10" s="30"/>
      <c r="M10" s="30">
        <f t="shared" si="4"/>
        <v>22889</v>
      </c>
      <c r="N10" s="30">
        <f t="shared" si="4"/>
        <v>-419</v>
      </c>
      <c r="P10" s="20">
        <f>-114440+137329</f>
        <v>22889</v>
      </c>
      <c r="Q10" s="20">
        <v>-419</v>
      </c>
    </row>
    <row r="11" spans="1:17" ht="15" thickBot="1" x14ac:dyDescent="0.35">
      <c r="A11" s="5" t="s">
        <v>9</v>
      </c>
      <c r="B11" s="4">
        <v>1586</v>
      </c>
      <c r="C11" s="46">
        <f t="shared" si="0"/>
        <v>156630</v>
      </c>
      <c r="D11" s="20">
        <f t="shared" si="1"/>
        <v>6213</v>
      </c>
      <c r="F11" s="58">
        <v>109560</v>
      </c>
      <c r="G11" s="20">
        <v>3606</v>
      </c>
      <c r="H11" s="59">
        <f t="shared" si="2"/>
        <v>113166</v>
      </c>
      <c r="I11" s="58">
        <v>47070</v>
      </c>
      <c r="J11" s="20">
        <v>2607</v>
      </c>
      <c r="K11" s="59">
        <f t="shared" si="3"/>
        <v>49677</v>
      </c>
      <c r="L11" s="30"/>
      <c r="M11" s="30">
        <f t="shared" si="4"/>
        <v>156630</v>
      </c>
      <c r="N11" s="30">
        <f t="shared" si="4"/>
        <v>6213</v>
      </c>
      <c r="P11" s="20">
        <f>47070+109560</f>
        <v>156630</v>
      </c>
      <c r="Q11" s="20">
        <v>6213</v>
      </c>
    </row>
    <row r="12" spans="1:17" ht="17.399999999999999" thickBot="1" x14ac:dyDescent="0.35">
      <c r="A12" s="6" t="s">
        <v>10</v>
      </c>
      <c r="B12" s="4">
        <v>1588</v>
      </c>
      <c r="C12" s="46">
        <f t="shared" si="0"/>
        <v>-594273</v>
      </c>
      <c r="D12" s="20">
        <f t="shared" si="1"/>
        <v>59573</v>
      </c>
      <c r="F12" s="58">
        <v>-120080</v>
      </c>
      <c r="G12" s="20">
        <v>73600</v>
      </c>
      <c r="H12" s="59">
        <f t="shared" si="2"/>
        <v>-46480</v>
      </c>
      <c r="I12" s="58">
        <v>-474193</v>
      </c>
      <c r="J12" s="20">
        <v>-14027</v>
      </c>
      <c r="K12" s="59">
        <f t="shared" si="3"/>
        <v>-488220</v>
      </c>
      <c r="L12" s="30"/>
      <c r="M12" s="30">
        <f t="shared" si="4"/>
        <v>-594273</v>
      </c>
      <c r="N12" s="30">
        <f t="shared" si="4"/>
        <v>59573</v>
      </c>
      <c r="P12" s="20">
        <f>-474193-120080</f>
        <v>-594273</v>
      </c>
      <c r="Q12" s="20">
        <v>59573</v>
      </c>
    </row>
    <row r="13" spans="1:17" ht="17.399999999999999" thickBot="1" x14ac:dyDescent="0.35">
      <c r="A13" s="6" t="s">
        <v>11</v>
      </c>
      <c r="B13" s="4">
        <v>1589</v>
      </c>
      <c r="C13" s="46">
        <f t="shared" si="0"/>
        <v>394918</v>
      </c>
      <c r="D13" s="20">
        <f t="shared" si="1"/>
        <v>-70983</v>
      </c>
      <c r="F13" s="58">
        <v>32054</v>
      </c>
      <c r="G13" s="20">
        <v>-80836</v>
      </c>
      <c r="H13" s="59">
        <f t="shared" si="2"/>
        <v>-48782</v>
      </c>
      <c r="I13" s="58">
        <v>362864</v>
      </c>
      <c r="J13" s="20">
        <v>9853</v>
      </c>
      <c r="K13" s="59">
        <f t="shared" si="3"/>
        <v>372717</v>
      </c>
      <c r="L13" s="30"/>
      <c r="M13" s="30">
        <f t="shared" si="4"/>
        <v>394918</v>
      </c>
      <c r="N13" s="30">
        <f t="shared" si="4"/>
        <v>-70983</v>
      </c>
      <c r="P13" s="20">
        <f>362864+32054</f>
        <v>394918</v>
      </c>
      <c r="Q13" s="20">
        <v>-70983</v>
      </c>
    </row>
    <row r="14" spans="1:17" ht="17.399999999999999" thickBot="1" x14ac:dyDescent="0.35">
      <c r="A14" s="6" t="s">
        <v>12</v>
      </c>
      <c r="B14" s="4">
        <v>1595</v>
      </c>
      <c r="C14" s="46">
        <f t="shared" si="0"/>
        <v>0</v>
      </c>
      <c r="D14" s="20">
        <f t="shared" si="1"/>
        <v>0</v>
      </c>
      <c r="F14" s="58"/>
      <c r="G14" s="20"/>
      <c r="H14" s="59">
        <f t="shared" si="2"/>
        <v>0</v>
      </c>
      <c r="I14" s="58"/>
      <c r="J14" s="20"/>
      <c r="K14" s="59">
        <f t="shared" si="3"/>
        <v>0</v>
      </c>
      <c r="L14" s="30"/>
      <c r="M14" s="30">
        <f t="shared" si="4"/>
        <v>0</v>
      </c>
      <c r="N14" s="30">
        <f t="shared" si="4"/>
        <v>0</v>
      </c>
      <c r="P14" s="20"/>
      <c r="Q14" s="20"/>
    </row>
    <row r="15" spans="1:17" ht="17.399999999999999" thickBot="1" x14ac:dyDescent="0.35">
      <c r="A15" s="6" t="s">
        <v>13</v>
      </c>
      <c r="B15" s="4">
        <v>1595</v>
      </c>
      <c r="C15" s="46">
        <f t="shared" si="0"/>
        <v>0</v>
      </c>
      <c r="D15" s="20">
        <f t="shared" si="1"/>
        <v>0</v>
      </c>
      <c r="F15" s="58"/>
      <c r="G15" s="20"/>
      <c r="H15" s="59">
        <f t="shared" si="2"/>
        <v>0</v>
      </c>
      <c r="I15" s="58"/>
      <c r="J15" s="20"/>
      <c r="K15" s="59">
        <f t="shared" si="3"/>
        <v>0</v>
      </c>
      <c r="L15" s="30"/>
      <c r="M15" s="30">
        <f t="shared" si="4"/>
        <v>0</v>
      </c>
      <c r="N15" s="30">
        <f t="shared" si="4"/>
        <v>0</v>
      </c>
      <c r="P15" s="20"/>
      <c r="Q15" s="20"/>
    </row>
    <row r="16" spans="1:17" ht="17.399999999999999" thickBot="1" x14ac:dyDescent="0.35">
      <c r="A16" s="6" t="s">
        <v>14</v>
      </c>
      <c r="B16" s="4">
        <v>1595</v>
      </c>
      <c r="C16" s="46">
        <f t="shared" si="0"/>
        <v>0</v>
      </c>
      <c r="D16" s="20">
        <f t="shared" si="1"/>
        <v>0</v>
      </c>
      <c r="F16" s="58"/>
      <c r="G16" s="20"/>
      <c r="H16" s="59">
        <f t="shared" si="2"/>
        <v>0</v>
      </c>
      <c r="I16" s="58"/>
      <c r="J16" s="20"/>
      <c r="K16" s="59">
        <f t="shared" si="3"/>
        <v>0</v>
      </c>
      <c r="L16" s="30"/>
      <c r="M16" s="30">
        <f t="shared" si="4"/>
        <v>0</v>
      </c>
      <c r="N16" s="30">
        <f t="shared" si="4"/>
        <v>0</v>
      </c>
      <c r="P16" s="20"/>
      <c r="Q16" s="20"/>
    </row>
    <row r="17" spans="1:18" ht="17.399999999999999" thickBot="1" x14ac:dyDescent="0.35">
      <c r="A17" s="6" t="s">
        <v>15</v>
      </c>
      <c r="B17" s="4">
        <v>1595</v>
      </c>
      <c r="C17" s="46">
        <f t="shared" si="0"/>
        <v>-556165</v>
      </c>
      <c r="D17" s="20">
        <f t="shared" si="1"/>
        <v>499528</v>
      </c>
      <c r="F17" s="58"/>
      <c r="G17" s="20"/>
      <c r="H17" s="59">
        <f t="shared" si="2"/>
        <v>0</v>
      </c>
      <c r="I17" s="58">
        <v>-556165</v>
      </c>
      <c r="J17" s="20">
        <v>499528</v>
      </c>
      <c r="K17" s="59">
        <f t="shared" si="3"/>
        <v>-56637</v>
      </c>
      <c r="L17" s="30"/>
      <c r="M17" s="30">
        <f t="shared" si="4"/>
        <v>-556165</v>
      </c>
      <c r="N17" s="30">
        <f t="shared" si="4"/>
        <v>499528</v>
      </c>
      <c r="P17" s="20">
        <f>-1173295+624365-346642+339407</f>
        <v>-556165</v>
      </c>
      <c r="Q17" s="20">
        <v>499528</v>
      </c>
    </row>
    <row r="18" spans="1:18" ht="17.399999999999999" thickBot="1" x14ac:dyDescent="0.35">
      <c r="A18" s="6" t="s">
        <v>16</v>
      </c>
      <c r="B18" s="4">
        <v>1595</v>
      </c>
      <c r="C18" s="20">
        <f t="shared" si="0"/>
        <v>0</v>
      </c>
      <c r="D18" s="20">
        <f t="shared" si="1"/>
        <v>0</v>
      </c>
      <c r="F18" s="58">
        <v>0</v>
      </c>
      <c r="G18" s="20">
        <v>0</v>
      </c>
      <c r="H18" s="59">
        <f t="shared" si="2"/>
        <v>0</v>
      </c>
      <c r="I18" s="58"/>
      <c r="J18" s="20"/>
      <c r="K18" s="59">
        <f t="shared" si="3"/>
        <v>0</v>
      </c>
      <c r="L18" s="30"/>
      <c r="M18" s="30">
        <f t="shared" si="4"/>
        <v>0</v>
      </c>
      <c r="N18" s="30">
        <f t="shared" si="4"/>
        <v>0</v>
      </c>
      <c r="P18" s="20"/>
      <c r="Q18" s="20"/>
    </row>
    <row r="19" spans="1:18" ht="17.399999999999999" thickBot="1" x14ac:dyDescent="0.35">
      <c r="A19" s="6" t="s">
        <v>17</v>
      </c>
      <c r="B19" s="4">
        <v>1595</v>
      </c>
      <c r="C19" s="20">
        <f t="shared" si="0"/>
        <v>0</v>
      </c>
      <c r="D19" s="20">
        <f t="shared" si="1"/>
        <v>0</v>
      </c>
      <c r="F19" s="58"/>
      <c r="G19" s="20"/>
      <c r="H19" s="61">
        <f t="shared" si="2"/>
        <v>0</v>
      </c>
      <c r="I19" s="58"/>
      <c r="J19" s="20"/>
      <c r="K19" s="61">
        <f t="shared" si="3"/>
        <v>0</v>
      </c>
      <c r="L19" s="30"/>
      <c r="M19" s="30">
        <v>0</v>
      </c>
      <c r="N19" s="30">
        <v>0</v>
      </c>
      <c r="P19" s="20"/>
      <c r="Q19" s="20"/>
    </row>
    <row r="20" spans="1:18" ht="15" customHeight="1" thickBot="1" x14ac:dyDescent="0.35">
      <c r="A20" s="7" t="s">
        <v>18</v>
      </c>
      <c r="B20" s="4">
        <v>1595</v>
      </c>
      <c r="C20" s="20">
        <f t="shared" si="0"/>
        <v>0</v>
      </c>
      <c r="D20" s="20">
        <f t="shared" si="1"/>
        <v>0</v>
      </c>
      <c r="F20" s="58"/>
      <c r="G20" s="20"/>
      <c r="H20" s="59">
        <f t="shared" si="2"/>
        <v>0</v>
      </c>
      <c r="I20" s="58"/>
      <c r="J20" s="20"/>
      <c r="K20" s="59">
        <f t="shared" si="3"/>
        <v>0</v>
      </c>
      <c r="L20" s="30"/>
      <c r="M20" s="30">
        <f t="shared" si="4"/>
        <v>0</v>
      </c>
      <c r="N20" s="30">
        <f t="shared" si="4"/>
        <v>0</v>
      </c>
      <c r="P20" s="20">
        <f>1095271-374056+133195-40534-272006</f>
        <v>541870</v>
      </c>
      <c r="Q20" s="20">
        <v>-494469</v>
      </c>
      <c r="R20" t="s">
        <v>34</v>
      </c>
    </row>
    <row r="21" spans="1:18" ht="42.6" customHeight="1" thickBot="1" x14ac:dyDescent="0.35">
      <c r="A21" s="8" t="s">
        <v>19</v>
      </c>
      <c r="B21" s="4">
        <v>1595</v>
      </c>
      <c r="C21" s="20">
        <f t="shared" si="0"/>
        <v>0</v>
      </c>
      <c r="D21" s="20">
        <f t="shared" si="1"/>
        <v>0</v>
      </c>
      <c r="F21" s="58"/>
      <c r="G21" s="20"/>
      <c r="H21" s="59">
        <f t="shared" si="2"/>
        <v>0</v>
      </c>
      <c r="I21" s="58"/>
      <c r="J21" s="20"/>
      <c r="K21" s="59">
        <f t="shared" si="3"/>
        <v>0</v>
      </c>
      <c r="L21" s="30"/>
      <c r="M21" s="30">
        <f t="shared" si="4"/>
        <v>0</v>
      </c>
      <c r="N21" s="30">
        <f t="shared" si="4"/>
        <v>0</v>
      </c>
      <c r="P21" s="20"/>
      <c r="Q21" s="20"/>
    </row>
    <row r="22" spans="1:18" x14ac:dyDescent="0.3">
      <c r="A22" s="6"/>
      <c r="B22" s="4"/>
      <c r="C22" s="23"/>
      <c r="D22" s="24"/>
      <c r="F22" s="62"/>
      <c r="G22" s="63"/>
      <c r="H22" s="64"/>
      <c r="I22" s="62"/>
      <c r="J22" s="63"/>
      <c r="K22" s="64"/>
      <c r="P22" s="24"/>
      <c r="Q22" s="24"/>
    </row>
    <row r="23" spans="1:18" x14ac:dyDescent="0.3">
      <c r="A23" s="9" t="s">
        <v>20</v>
      </c>
      <c r="B23" s="10">
        <v>1589</v>
      </c>
      <c r="C23" s="25">
        <f t="shared" ref="C23:D23" si="5">C13</f>
        <v>394918</v>
      </c>
      <c r="D23" s="26">
        <f t="shared" si="5"/>
        <v>-70983</v>
      </c>
      <c r="F23" s="65">
        <f t="shared" ref="F23:N23" si="6">F13</f>
        <v>32054</v>
      </c>
      <c r="G23" s="66">
        <f t="shared" si="6"/>
        <v>-80836</v>
      </c>
      <c r="H23" s="67">
        <f t="shared" si="6"/>
        <v>-48782</v>
      </c>
      <c r="I23" s="65">
        <f t="shared" si="6"/>
        <v>362864</v>
      </c>
      <c r="J23" s="66">
        <f t="shared" si="6"/>
        <v>9853</v>
      </c>
      <c r="K23" s="67">
        <f t="shared" si="6"/>
        <v>372717</v>
      </c>
      <c r="L23" s="26"/>
      <c r="M23" s="26">
        <f t="shared" si="6"/>
        <v>394918</v>
      </c>
      <c r="N23" s="26">
        <f t="shared" si="6"/>
        <v>-70983</v>
      </c>
      <c r="P23" s="26">
        <f t="shared" ref="P23" si="7">P13</f>
        <v>394918</v>
      </c>
      <c r="Q23" s="26">
        <v>-70983</v>
      </c>
    </row>
    <row r="24" spans="1:18" x14ac:dyDescent="0.3">
      <c r="A24" s="11" t="s">
        <v>21</v>
      </c>
      <c r="B24" s="12"/>
      <c r="C24" s="25">
        <f t="shared" ref="C24:D24" si="8">SUM(C5:C21)-C13</f>
        <v>-1249328</v>
      </c>
      <c r="D24" s="26">
        <f t="shared" si="8"/>
        <v>549237</v>
      </c>
      <c r="F24" s="65">
        <f t="shared" ref="F24:G24" si="9">SUM(F5:F21)-F13</f>
        <v>208807</v>
      </c>
      <c r="G24" s="66">
        <f t="shared" si="9"/>
        <v>83228</v>
      </c>
      <c r="H24" s="67">
        <f t="shared" ref="H24:N24" si="10">SUM(H5:H21)-H13</f>
        <v>292035</v>
      </c>
      <c r="I24" s="65">
        <f t="shared" si="10"/>
        <v>-1458135</v>
      </c>
      <c r="J24" s="66">
        <f t="shared" si="10"/>
        <v>466009</v>
      </c>
      <c r="K24" s="67">
        <f t="shared" si="10"/>
        <v>-992126</v>
      </c>
      <c r="L24" s="26"/>
      <c r="M24" s="26">
        <f t="shared" si="10"/>
        <v>-1249328</v>
      </c>
      <c r="N24" s="26">
        <f t="shared" si="10"/>
        <v>549237</v>
      </c>
      <c r="P24" s="26">
        <f t="shared" ref="P24" si="11">SUM(P5:P21)-P13</f>
        <v>-707457</v>
      </c>
      <c r="Q24" s="26">
        <v>54767</v>
      </c>
    </row>
    <row r="25" spans="1:18" x14ac:dyDescent="0.3">
      <c r="A25" s="11" t="s">
        <v>22</v>
      </c>
      <c r="B25" s="12"/>
      <c r="C25" s="25">
        <f>SUM(C23,C24)</f>
        <v>-854410</v>
      </c>
      <c r="D25" s="26">
        <f t="shared" ref="D25:N25" si="12">SUM(D23,D24)</f>
        <v>478254</v>
      </c>
      <c r="F25" s="68">
        <f t="shared" si="12"/>
        <v>240861</v>
      </c>
      <c r="G25" s="69">
        <f t="shared" si="12"/>
        <v>2392</v>
      </c>
      <c r="H25" s="70">
        <f t="shared" si="12"/>
        <v>243253</v>
      </c>
      <c r="I25" s="68">
        <f t="shared" si="12"/>
        <v>-1095271</v>
      </c>
      <c r="J25" s="69">
        <f t="shared" si="12"/>
        <v>475862</v>
      </c>
      <c r="K25" s="70">
        <f t="shared" si="12"/>
        <v>-619409</v>
      </c>
      <c r="L25" s="26"/>
      <c r="M25" s="26">
        <f t="shared" si="12"/>
        <v>-854410</v>
      </c>
      <c r="N25" s="26">
        <f t="shared" si="12"/>
        <v>478254</v>
      </c>
      <c r="P25" s="26">
        <f>SUM(P23,P24)</f>
        <v>-312539</v>
      </c>
      <c r="Q25" s="26">
        <v>-16216</v>
      </c>
    </row>
    <row r="26" spans="1:18" x14ac:dyDescent="0.3">
      <c r="A26" s="3"/>
      <c r="B26" s="13"/>
      <c r="C26" s="27"/>
      <c r="D26" s="28"/>
      <c r="F26" s="28"/>
      <c r="G26" s="28"/>
      <c r="I26" s="28"/>
      <c r="J26" s="28"/>
      <c r="O26" t="s">
        <v>29</v>
      </c>
      <c r="P26" s="28"/>
      <c r="Q26" s="28"/>
    </row>
    <row r="27" spans="1:18" ht="15" thickBot="1" x14ac:dyDescent="0.35"/>
    <row r="28" spans="1:18" x14ac:dyDescent="0.3">
      <c r="A28" s="34" t="s">
        <v>0</v>
      </c>
      <c r="B28" s="36" t="s">
        <v>1</v>
      </c>
      <c r="C28" s="38" t="s">
        <v>30</v>
      </c>
      <c r="D28" s="41" t="s">
        <v>32</v>
      </c>
    </row>
    <row r="29" spans="1:18" x14ac:dyDescent="0.3">
      <c r="A29" s="35"/>
      <c r="B29" s="37"/>
      <c r="C29" s="39"/>
      <c r="D29" s="42"/>
    </row>
    <row r="30" spans="1:18" ht="15" thickBot="1" x14ac:dyDescent="0.35">
      <c r="A30" s="35"/>
      <c r="B30" s="37"/>
      <c r="C30" s="40"/>
      <c r="D30" s="43"/>
      <c r="F30" s="44" t="s">
        <v>35</v>
      </c>
      <c r="G30" s="44"/>
      <c r="H30" s="45"/>
      <c r="I30" s="44" t="s">
        <v>36</v>
      </c>
      <c r="J30" s="44"/>
      <c r="K30" s="45"/>
    </row>
    <row r="31" spans="1:18" ht="23.4" thickBot="1" x14ac:dyDescent="0.35">
      <c r="A31" s="1" t="s">
        <v>37</v>
      </c>
      <c r="B31" s="2"/>
    </row>
    <row r="32" spans="1:18" ht="15" thickBot="1" x14ac:dyDescent="0.35">
      <c r="A32" s="3" t="s">
        <v>38</v>
      </c>
      <c r="B32" s="4">
        <v>1508</v>
      </c>
      <c r="C32" s="20">
        <f t="shared" ref="C32:C73" si="13">+F32+I32</f>
        <v>60768</v>
      </c>
      <c r="D32" s="20">
        <f t="shared" ref="D32:D73" si="14">+G32+J32</f>
        <v>6049</v>
      </c>
      <c r="F32" s="71">
        <v>71058</v>
      </c>
      <c r="G32" s="72">
        <v>7595</v>
      </c>
      <c r="H32" s="57">
        <f t="shared" ref="H32:H73" si="15">+F32+G32</f>
        <v>78653</v>
      </c>
      <c r="I32" s="71">
        <v>-10290</v>
      </c>
      <c r="J32" s="72">
        <v>-1546</v>
      </c>
      <c r="K32" s="57">
        <f t="shared" ref="K32:K73" si="16">+I32+J32</f>
        <v>-11836</v>
      </c>
    </row>
    <row r="33" spans="1:11" ht="15" thickBot="1" x14ac:dyDescent="0.35">
      <c r="A33" s="3" t="s">
        <v>39</v>
      </c>
      <c r="B33" s="4">
        <v>1508</v>
      </c>
      <c r="C33" s="20">
        <f t="shared" si="13"/>
        <v>2196</v>
      </c>
      <c r="D33" s="20">
        <f t="shared" si="14"/>
        <v>212</v>
      </c>
      <c r="F33" s="73">
        <v>3063</v>
      </c>
      <c r="G33" s="53">
        <v>235</v>
      </c>
      <c r="H33" s="59">
        <f t="shared" si="15"/>
        <v>3298</v>
      </c>
      <c r="I33" s="73">
        <v>-867</v>
      </c>
      <c r="J33" s="53">
        <v>-23</v>
      </c>
      <c r="K33" s="59">
        <f t="shared" si="16"/>
        <v>-890</v>
      </c>
    </row>
    <row r="34" spans="1:11" ht="31.2" thickBot="1" x14ac:dyDescent="0.35">
      <c r="A34" s="47" t="s">
        <v>40</v>
      </c>
      <c r="B34" s="4">
        <v>1508</v>
      </c>
      <c r="C34" s="20">
        <f t="shared" si="13"/>
        <v>0</v>
      </c>
      <c r="D34" s="20">
        <f t="shared" si="14"/>
        <v>0</v>
      </c>
      <c r="F34" s="73">
        <v>0</v>
      </c>
      <c r="G34" s="53">
        <v>0</v>
      </c>
      <c r="H34" s="59">
        <f t="shared" si="15"/>
        <v>0</v>
      </c>
      <c r="I34" s="73"/>
      <c r="J34" s="53"/>
      <c r="K34" s="59">
        <f t="shared" si="16"/>
        <v>0</v>
      </c>
    </row>
    <row r="35" spans="1:11" ht="15" thickBot="1" x14ac:dyDescent="0.35">
      <c r="A35" s="48" t="s">
        <v>41</v>
      </c>
      <c r="B35" s="4">
        <v>1508</v>
      </c>
      <c r="C35" s="20">
        <f t="shared" si="13"/>
        <v>0</v>
      </c>
      <c r="D35" s="20">
        <f t="shared" si="14"/>
        <v>0</v>
      </c>
      <c r="F35" s="73">
        <v>0</v>
      </c>
      <c r="G35" s="53">
        <v>0</v>
      </c>
      <c r="H35" s="59">
        <f t="shared" si="15"/>
        <v>0</v>
      </c>
      <c r="I35" s="73"/>
      <c r="J35" s="53"/>
      <c r="K35" s="59">
        <f t="shared" si="16"/>
        <v>0</v>
      </c>
    </row>
    <row r="36" spans="1:11" ht="15" thickBot="1" x14ac:dyDescent="0.35">
      <c r="A36" s="48" t="s">
        <v>42</v>
      </c>
      <c r="B36" s="4">
        <v>1508</v>
      </c>
      <c r="C36" s="20">
        <f t="shared" si="13"/>
        <v>39433.69</v>
      </c>
      <c r="D36" s="20">
        <f t="shared" si="14"/>
        <v>3760</v>
      </c>
      <c r="F36" s="73">
        <v>17238.689999999999</v>
      </c>
      <c r="G36" s="53">
        <v>2910</v>
      </c>
      <c r="H36" s="59">
        <f t="shared" si="15"/>
        <v>20148.689999999999</v>
      </c>
      <c r="I36" s="73">
        <v>22195</v>
      </c>
      <c r="J36" s="53">
        <v>850</v>
      </c>
      <c r="K36" s="59">
        <f t="shared" si="16"/>
        <v>23045</v>
      </c>
    </row>
    <row r="37" spans="1:11" ht="15" thickBot="1" x14ac:dyDescent="0.35">
      <c r="A37" s="48" t="s">
        <v>43</v>
      </c>
      <c r="B37" s="4">
        <v>1508</v>
      </c>
      <c r="C37" s="20">
        <f t="shared" si="13"/>
        <v>2900</v>
      </c>
      <c r="D37" s="20">
        <f t="shared" si="14"/>
        <v>163</v>
      </c>
      <c r="F37" s="73">
        <v>0</v>
      </c>
      <c r="G37" s="53">
        <v>0</v>
      </c>
      <c r="H37" s="59">
        <f t="shared" si="15"/>
        <v>0</v>
      </c>
      <c r="I37" s="73">
        <v>2900</v>
      </c>
      <c r="J37" s="53">
        <v>163</v>
      </c>
      <c r="K37" s="59">
        <f t="shared" si="16"/>
        <v>3063</v>
      </c>
    </row>
    <row r="38" spans="1:11" ht="15" thickBot="1" x14ac:dyDescent="0.35">
      <c r="A38" s="3" t="s">
        <v>44</v>
      </c>
      <c r="B38" s="4">
        <v>1518</v>
      </c>
      <c r="C38" s="20">
        <f t="shared" si="13"/>
        <v>35066</v>
      </c>
      <c r="D38" s="20">
        <f t="shared" si="14"/>
        <v>1969</v>
      </c>
      <c r="F38" s="73">
        <v>2410</v>
      </c>
      <c r="G38" s="53">
        <v>6</v>
      </c>
      <c r="H38" s="59">
        <f t="shared" si="15"/>
        <v>2416</v>
      </c>
      <c r="I38" s="73">
        <v>32656</v>
      </c>
      <c r="J38" s="53">
        <v>1963</v>
      </c>
      <c r="K38" s="59">
        <f t="shared" si="16"/>
        <v>34619</v>
      </c>
    </row>
    <row r="39" spans="1:11" ht="15" thickBot="1" x14ac:dyDescent="0.35">
      <c r="A39" s="3" t="s">
        <v>45</v>
      </c>
      <c r="B39" s="4">
        <v>1525</v>
      </c>
      <c r="C39" s="20">
        <f t="shared" si="13"/>
        <v>0</v>
      </c>
      <c r="D39" s="20">
        <f t="shared" si="14"/>
        <v>0</v>
      </c>
      <c r="F39" s="73">
        <v>0</v>
      </c>
      <c r="G39" s="53">
        <v>0</v>
      </c>
      <c r="H39" s="59">
        <f t="shared" si="15"/>
        <v>0</v>
      </c>
      <c r="I39" s="73">
        <v>0</v>
      </c>
      <c r="J39" s="53"/>
      <c r="K39" s="59">
        <f t="shared" si="16"/>
        <v>0</v>
      </c>
    </row>
    <row r="40" spans="1:11" ht="15" thickBot="1" x14ac:dyDescent="0.35">
      <c r="A40" s="3" t="s">
        <v>46</v>
      </c>
      <c r="B40" s="4">
        <v>1548</v>
      </c>
      <c r="C40" s="20">
        <f t="shared" si="13"/>
        <v>-1079</v>
      </c>
      <c r="D40" s="20">
        <f t="shared" si="14"/>
        <v>-30</v>
      </c>
      <c r="F40" s="73">
        <v>231</v>
      </c>
      <c r="G40" s="53">
        <v>3</v>
      </c>
      <c r="H40" s="59">
        <f t="shared" si="15"/>
        <v>234</v>
      </c>
      <c r="I40" s="73">
        <v>-1310</v>
      </c>
      <c r="J40" s="53">
        <v>-33</v>
      </c>
      <c r="K40" s="59">
        <f t="shared" si="16"/>
        <v>-1343</v>
      </c>
    </row>
    <row r="41" spans="1:11" ht="15" thickBot="1" x14ac:dyDescent="0.35">
      <c r="A41" s="3" t="s">
        <v>47</v>
      </c>
      <c r="B41" s="4">
        <v>1567</v>
      </c>
      <c r="C41" s="20">
        <f t="shared" si="13"/>
        <v>0</v>
      </c>
      <c r="D41" s="20">
        <f t="shared" si="14"/>
        <v>0</v>
      </c>
      <c r="F41" s="73">
        <v>0</v>
      </c>
      <c r="G41" s="53">
        <v>0</v>
      </c>
      <c r="H41" s="59">
        <f t="shared" si="15"/>
        <v>0</v>
      </c>
      <c r="I41" s="73">
        <v>0</v>
      </c>
      <c r="J41" s="53"/>
      <c r="K41" s="59">
        <f t="shared" si="16"/>
        <v>0</v>
      </c>
    </row>
    <row r="42" spans="1:11" ht="15" thickBot="1" x14ac:dyDescent="0.35">
      <c r="A42" s="3" t="s">
        <v>48</v>
      </c>
      <c r="B42" s="4">
        <v>1572</v>
      </c>
      <c r="C42" s="20">
        <f t="shared" si="13"/>
        <v>0</v>
      </c>
      <c r="D42" s="20">
        <f t="shared" si="14"/>
        <v>0</v>
      </c>
      <c r="F42" s="73">
        <v>0</v>
      </c>
      <c r="G42" s="53">
        <v>0</v>
      </c>
      <c r="H42" s="59">
        <f t="shared" si="15"/>
        <v>0</v>
      </c>
      <c r="I42" s="73">
        <v>0</v>
      </c>
      <c r="J42" s="53"/>
      <c r="K42" s="59">
        <f t="shared" si="16"/>
        <v>0</v>
      </c>
    </row>
    <row r="43" spans="1:11" ht="15" thickBot="1" x14ac:dyDescent="0.35">
      <c r="A43" s="3" t="s">
        <v>49</v>
      </c>
      <c r="B43" s="4">
        <v>1574</v>
      </c>
      <c r="C43" s="20">
        <f t="shared" si="13"/>
        <v>14467</v>
      </c>
      <c r="D43" s="20">
        <f t="shared" si="14"/>
        <v>2046</v>
      </c>
      <c r="F43" s="73">
        <v>14467</v>
      </c>
      <c r="G43" s="53">
        <v>2046</v>
      </c>
      <c r="H43" s="59">
        <f t="shared" si="15"/>
        <v>16513</v>
      </c>
      <c r="I43" s="73">
        <v>0</v>
      </c>
      <c r="J43" s="53"/>
      <c r="K43" s="59">
        <f t="shared" si="16"/>
        <v>0</v>
      </c>
    </row>
    <row r="44" spans="1:11" ht="15" thickBot="1" x14ac:dyDescent="0.35">
      <c r="A44" s="3" t="s">
        <v>50</v>
      </c>
      <c r="B44" s="4">
        <v>1582</v>
      </c>
      <c r="C44" s="20">
        <f t="shared" si="13"/>
        <v>-5738</v>
      </c>
      <c r="D44" s="20">
        <f t="shared" si="14"/>
        <v>2340</v>
      </c>
      <c r="F44" s="73">
        <v>-5738</v>
      </c>
      <c r="G44" s="53">
        <v>2340</v>
      </c>
      <c r="H44" s="59">
        <f t="shared" si="15"/>
        <v>-3398</v>
      </c>
      <c r="I44" s="73">
        <v>0</v>
      </c>
      <c r="J44" s="53"/>
      <c r="K44" s="59">
        <f t="shared" si="16"/>
        <v>0</v>
      </c>
    </row>
    <row r="45" spans="1:11" ht="15" thickBot="1" x14ac:dyDescent="0.35">
      <c r="A45" s="3" t="s">
        <v>51</v>
      </c>
      <c r="B45" s="4">
        <v>2425</v>
      </c>
      <c r="C45" s="20">
        <f t="shared" si="13"/>
        <v>0</v>
      </c>
      <c r="D45" s="20">
        <f t="shared" si="14"/>
        <v>0</v>
      </c>
      <c r="F45" s="73">
        <v>0</v>
      </c>
      <c r="G45" s="53"/>
      <c r="H45" s="59">
        <f t="shared" si="15"/>
        <v>0</v>
      </c>
      <c r="I45" s="73"/>
      <c r="J45" s="53"/>
      <c r="K45" s="59">
        <f t="shared" si="16"/>
        <v>0</v>
      </c>
    </row>
    <row r="46" spans="1:11" ht="15" thickBot="1" x14ac:dyDescent="0.35">
      <c r="A46" s="3"/>
      <c r="B46" s="13"/>
      <c r="C46" s="20"/>
      <c r="D46" s="20"/>
      <c r="F46" s="73"/>
      <c r="G46" s="53"/>
      <c r="H46" s="59">
        <f t="shared" si="15"/>
        <v>0</v>
      </c>
      <c r="I46" s="73"/>
      <c r="J46" s="53"/>
      <c r="K46" s="59">
        <f t="shared" si="16"/>
        <v>0</v>
      </c>
    </row>
    <row r="47" spans="1:11" ht="15" thickBot="1" x14ac:dyDescent="0.35">
      <c r="A47" s="11" t="s">
        <v>52</v>
      </c>
      <c r="B47" s="13"/>
      <c r="C47" s="20">
        <f>SUM(C32:C46)</f>
        <v>148013.69</v>
      </c>
      <c r="D47" s="20">
        <f>SUM(D32:D46)</f>
        <v>16509</v>
      </c>
      <c r="F47" s="73">
        <f>SUM(F32:F46)</f>
        <v>102729.69</v>
      </c>
      <c r="G47" s="53">
        <f>SUM(G32:G46)</f>
        <v>15135</v>
      </c>
      <c r="H47" s="59">
        <f t="shared" si="15"/>
        <v>117864.69</v>
      </c>
      <c r="I47" s="73">
        <f>SUM(I32:I46)</f>
        <v>45284</v>
      </c>
      <c r="J47" s="53">
        <f>SUM(J32:J46)</f>
        <v>1374</v>
      </c>
      <c r="K47" s="59">
        <f t="shared" si="16"/>
        <v>46658</v>
      </c>
    </row>
    <row r="48" spans="1:11" ht="15" thickBot="1" x14ac:dyDescent="0.35">
      <c r="A48" s="3"/>
      <c r="B48" s="13"/>
      <c r="C48" s="20"/>
      <c r="D48" s="20"/>
      <c r="F48" s="73"/>
      <c r="G48" s="53"/>
      <c r="H48" s="59"/>
      <c r="I48" s="73"/>
      <c r="J48" s="53"/>
      <c r="K48" s="59">
        <f t="shared" si="16"/>
        <v>0</v>
      </c>
    </row>
    <row r="49" spans="1:11" ht="28.2" thickBot="1" x14ac:dyDescent="0.35">
      <c r="A49" s="49" t="s">
        <v>53</v>
      </c>
      <c r="B49" s="50">
        <v>1592</v>
      </c>
      <c r="C49" s="20">
        <f t="shared" si="13"/>
        <v>169793</v>
      </c>
      <c r="D49" s="20">
        <f t="shared" si="14"/>
        <v>0</v>
      </c>
      <c r="F49" s="73">
        <v>169295</v>
      </c>
      <c r="G49" s="53">
        <v>0</v>
      </c>
      <c r="H49" s="59">
        <f t="shared" si="15"/>
        <v>169295</v>
      </c>
      <c r="I49" s="73">
        <v>498</v>
      </c>
      <c r="J49" s="53">
        <v>0</v>
      </c>
      <c r="K49" s="59">
        <f t="shared" si="16"/>
        <v>498</v>
      </c>
    </row>
    <row r="50" spans="1:11" ht="28.2" thickBot="1" x14ac:dyDescent="0.35">
      <c r="A50" s="49" t="s">
        <v>54</v>
      </c>
      <c r="B50" s="50">
        <v>1592</v>
      </c>
      <c r="C50" s="20">
        <f t="shared" si="13"/>
        <v>-5248</v>
      </c>
      <c r="D50" s="20">
        <f t="shared" si="14"/>
        <v>-295</v>
      </c>
      <c r="F50" s="73">
        <v>0</v>
      </c>
      <c r="G50" s="53"/>
      <c r="H50" s="59">
        <f t="shared" si="15"/>
        <v>0</v>
      </c>
      <c r="I50" s="73">
        <v>-5248</v>
      </c>
      <c r="J50" s="53">
        <v>-295</v>
      </c>
      <c r="K50" s="59">
        <f t="shared" si="16"/>
        <v>-5543</v>
      </c>
    </row>
    <row r="51" spans="1:11" ht="15" thickBot="1" x14ac:dyDescent="0.35">
      <c r="A51" s="3"/>
      <c r="B51" s="13"/>
      <c r="C51" s="20"/>
      <c r="D51" s="20"/>
      <c r="F51" s="73"/>
      <c r="G51" s="53"/>
      <c r="H51" s="59">
        <f t="shared" si="15"/>
        <v>0</v>
      </c>
      <c r="I51" s="73"/>
      <c r="J51" s="53"/>
      <c r="K51" s="59">
        <f t="shared" si="16"/>
        <v>0</v>
      </c>
    </row>
    <row r="52" spans="1:11" ht="15" thickBot="1" x14ac:dyDescent="0.35">
      <c r="A52" s="11" t="s">
        <v>70</v>
      </c>
      <c r="B52" s="13"/>
      <c r="C52" s="20">
        <f>SUM(C47:C51)</f>
        <v>312558.69</v>
      </c>
      <c r="D52" s="20">
        <f t="shared" si="14"/>
        <v>16214</v>
      </c>
      <c r="F52" s="73">
        <f>SUM(F47:F51)</f>
        <v>272024.69</v>
      </c>
      <c r="G52" s="53">
        <f>SUM(G47:G51)</f>
        <v>15135</v>
      </c>
      <c r="H52" s="59">
        <f t="shared" si="15"/>
        <v>287159.69</v>
      </c>
      <c r="I52" s="73">
        <f>SUM(I47:I51)</f>
        <v>40534</v>
      </c>
      <c r="J52" s="53">
        <f>SUM(J47:J51)</f>
        <v>1079</v>
      </c>
      <c r="K52" s="59">
        <f t="shared" si="16"/>
        <v>41613</v>
      </c>
    </row>
    <row r="53" spans="1:11" ht="15" thickBot="1" x14ac:dyDescent="0.35">
      <c r="A53" s="3"/>
      <c r="B53" s="13"/>
      <c r="C53" s="20"/>
      <c r="D53" s="20"/>
      <c r="F53" s="73"/>
      <c r="G53" s="53"/>
      <c r="H53" s="59">
        <f t="shared" si="15"/>
        <v>0</v>
      </c>
      <c r="I53" s="73"/>
      <c r="J53" s="53"/>
      <c r="K53" s="59">
        <f t="shared" si="16"/>
        <v>0</v>
      </c>
    </row>
    <row r="54" spans="1:11" ht="15" thickBot="1" x14ac:dyDescent="0.35">
      <c r="A54" s="3"/>
      <c r="B54" s="13"/>
      <c r="C54" s="20"/>
      <c r="D54" s="20"/>
      <c r="F54" s="73"/>
      <c r="G54" s="53"/>
      <c r="H54" s="59">
        <f t="shared" si="15"/>
        <v>0</v>
      </c>
      <c r="I54" s="73"/>
      <c r="J54" s="53"/>
      <c r="K54" s="59">
        <f t="shared" si="16"/>
        <v>0</v>
      </c>
    </row>
    <row r="55" spans="1:11" ht="17.399999999999999" thickBot="1" x14ac:dyDescent="0.35">
      <c r="A55" s="14" t="s">
        <v>55</v>
      </c>
      <c r="B55" s="15">
        <v>1568</v>
      </c>
      <c r="C55" s="20">
        <f t="shared" si="13"/>
        <v>0</v>
      </c>
      <c r="D55" s="20">
        <f t="shared" si="14"/>
        <v>0</v>
      </c>
      <c r="F55" s="73">
        <v>0</v>
      </c>
      <c r="G55" s="53">
        <v>0</v>
      </c>
      <c r="H55" s="59">
        <f t="shared" si="15"/>
        <v>0</v>
      </c>
      <c r="I55" s="73">
        <v>0</v>
      </c>
      <c r="J55" s="53">
        <v>0</v>
      </c>
      <c r="K55" s="59">
        <f t="shared" si="16"/>
        <v>0</v>
      </c>
    </row>
    <row r="56" spans="1:11" ht="15" thickBot="1" x14ac:dyDescent="0.35">
      <c r="A56" s="14"/>
      <c r="B56" s="15"/>
      <c r="C56" s="20"/>
      <c r="D56" s="20"/>
      <c r="F56" s="73"/>
      <c r="G56" s="53"/>
      <c r="H56" s="59">
        <f t="shared" si="15"/>
        <v>0</v>
      </c>
      <c r="I56" s="73"/>
      <c r="J56" s="53"/>
      <c r="K56" s="59">
        <f t="shared" si="16"/>
        <v>0</v>
      </c>
    </row>
    <row r="57" spans="1:11" ht="15" thickBot="1" x14ac:dyDescent="0.35">
      <c r="A57" s="14"/>
      <c r="B57" s="15"/>
      <c r="C57" s="20"/>
      <c r="D57" s="20"/>
      <c r="F57" s="73"/>
      <c r="G57" s="53"/>
      <c r="H57" s="59">
        <f t="shared" si="15"/>
        <v>0</v>
      </c>
      <c r="I57" s="73"/>
      <c r="J57" s="53"/>
      <c r="K57" s="59">
        <f t="shared" si="16"/>
        <v>0</v>
      </c>
    </row>
    <row r="58" spans="1:11" ht="15" thickBot="1" x14ac:dyDescent="0.35">
      <c r="A58" s="11" t="s">
        <v>24</v>
      </c>
      <c r="B58" s="13"/>
      <c r="C58" s="20">
        <f>SUM(C52:C57)</f>
        <v>312558.69</v>
      </c>
      <c r="D58" s="20">
        <f>SUM(D52:D57)</f>
        <v>16214</v>
      </c>
      <c r="F58" s="73">
        <f>SUM(F52:F57)</f>
        <v>272024.69</v>
      </c>
      <c r="G58" s="53">
        <f>SUM(G52:G57)</f>
        <v>15135</v>
      </c>
      <c r="H58" s="61">
        <f t="shared" si="15"/>
        <v>287159.69</v>
      </c>
      <c r="I58" s="73">
        <f>SUM(I52:I57)</f>
        <v>40534</v>
      </c>
      <c r="J58" s="53">
        <f>SUM(J52:J57)</f>
        <v>1079</v>
      </c>
      <c r="K58" s="61">
        <f t="shared" si="16"/>
        <v>41613</v>
      </c>
    </row>
    <row r="59" spans="1:11" ht="15" thickBot="1" x14ac:dyDescent="0.35">
      <c r="A59" s="3"/>
      <c r="B59" s="13"/>
      <c r="C59" s="20"/>
      <c r="D59" s="20"/>
      <c r="F59" s="73"/>
      <c r="G59" s="53"/>
      <c r="H59" s="61">
        <f t="shared" si="15"/>
        <v>0</v>
      </c>
      <c r="I59" s="73"/>
      <c r="J59" s="53"/>
      <c r="K59" s="61">
        <f t="shared" si="16"/>
        <v>0</v>
      </c>
    </row>
    <row r="60" spans="1:11" ht="17.399999999999999" thickBot="1" x14ac:dyDescent="0.35">
      <c r="A60" s="3" t="s">
        <v>56</v>
      </c>
      <c r="B60" s="4">
        <v>1531</v>
      </c>
      <c r="C60" s="20">
        <f t="shared" si="13"/>
        <v>237051</v>
      </c>
      <c r="D60" s="20">
        <f t="shared" si="14"/>
        <v>6351</v>
      </c>
      <c r="E60" t="s">
        <v>69</v>
      </c>
      <c r="F60" s="73">
        <v>0</v>
      </c>
      <c r="G60" s="53">
        <v>0</v>
      </c>
      <c r="H60" s="61">
        <f t="shared" si="15"/>
        <v>0</v>
      </c>
      <c r="I60" s="73">
        <v>237051</v>
      </c>
      <c r="J60" s="53">
        <v>6351</v>
      </c>
      <c r="K60" s="61">
        <f t="shared" si="16"/>
        <v>243402</v>
      </c>
    </row>
    <row r="61" spans="1:11" ht="17.399999999999999" thickBot="1" x14ac:dyDescent="0.35">
      <c r="A61" s="3" t="s">
        <v>57</v>
      </c>
      <c r="B61" s="4">
        <v>1532</v>
      </c>
      <c r="C61" s="20">
        <f t="shared" si="13"/>
        <v>0</v>
      </c>
      <c r="D61" s="20">
        <f t="shared" si="14"/>
        <v>0</v>
      </c>
      <c r="F61" s="73">
        <v>0</v>
      </c>
      <c r="G61" s="53">
        <v>0</v>
      </c>
      <c r="H61" s="61">
        <f t="shared" si="15"/>
        <v>0</v>
      </c>
      <c r="I61" s="73">
        <v>0</v>
      </c>
      <c r="J61" s="53">
        <v>0</v>
      </c>
      <c r="K61" s="61">
        <f t="shared" si="16"/>
        <v>0</v>
      </c>
    </row>
    <row r="62" spans="1:11" ht="15" thickBot="1" x14ac:dyDescent="0.35">
      <c r="A62" s="3" t="s">
        <v>58</v>
      </c>
      <c r="B62" s="4">
        <v>1533</v>
      </c>
      <c r="C62" s="20">
        <f t="shared" si="13"/>
        <v>0</v>
      </c>
      <c r="D62" s="20">
        <f t="shared" si="14"/>
        <v>0</v>
      </c>
      <c r="F62" s="73">
        <v>0</v>
      </c>
      <c r="G62" s="53">
        <v>0</v>
      </c>
      <c r="H62" s="61">
        <f t="shared" si="15"/>
        <v>0</v>
      </c>
      <c r="I62" s="73">
        <v>0</v>
      </c>
      <c r="J62" s="53">
        <v>0</v>
      </c>
      <c r="K62" s="61">
        <f t="shared" si="16"/>
        <v>0</v>
      </c>
    </row>
    <row r="63" spans="1:11" ht="15" thickBot="1" x14ac:dyDescent="0.35">
      <c r="A63" s="3" t="s">
        <v>59</v>
      </c>
      <c r="B63" s="4">
        <v>1534</v>
      </c>
      <c r="C63" s="20">
        <f t="shared" si="13"/>
        <v>0</v>
      </c>
      <c r="D63" s="20">
        <f t="shared" si="14"/>
        <v>0</v>
      </c>
      <c r="F63" s="74">
        <v>0</v>
      </c>
      <c r="G63" s="75">
        <v>0</v>
      </c>
      <c r="H63" s="59">
        <f t="shared" si="15"/>
        <v>0</v>
      </c>
      <c r="I63" s="74">
        <v>0</v>
      </c>
      <c r="J63" s="75">
        <v>0</v>
      </c>
      <c r="K63" s="59">
        <f t="shared" si="16"/>
        <v>0</v>
      </c>
    </row>
    <row r="64" spans="1:11" ht="15" thickBot="1" x14ac:dyDescent="0.35">
      <c r="A64" s="3" t="s">
        <v>60</v>
      </c>
      <c r="B64" s="4">
        <v>1535</v>
      </c>
      <c r="C64" s="20">
        <f t="shared" si="13"/>
        <v>0</v>
      </c>
      <c r="D64" s="20">
        <f t="shared" si="14"/>
        <v>0</v>
      </c>
      <c r="F64" s="74">
        <v>0</v>
      </c>
      <c r="G64" s="75">
        <v>0</v>
      </c>
      <c r="H64" s="59">
        <f t="shared" si="15"/>
        <v>0</v>
      </c>
      <c r="I64" s="74">
        <v>0</v>
      </c>
      <c r="J64" s="75">
        <v>0</v>
      </c>
      <c r="K64" s="59">
        <f t="shared" si="16"/>
        <v>0</v>
      </c>
    </row>
    <row r="65" spans="1:11" ht="15" thickBot="1" x14ac:dyDescent="0.35">
      <c r="A65" s="3" t="s">
        <v>61</v>
      </c>
      <c r="B65" s="4">
        <v>1536</v>
      </c>
      <c r="C65" s="20">
        <f t="shared" si="13"/>
        <v>0</v>
      </c>
      <c r="D65" s="20">
        <f t="shared" si="14"/>
        <v>0</v>
      </c>
      <c r="F65" s="74">
        <v>0</v>
      </c>
      <c r="G65" s="75">
        <v>0</v>
      </c>
      <c r="H65" s="59">
        <f t="shared" si="15"/>
        <v>0</v>
      </c>
      <c r="I65" s="74">
        <v>0</v>
      </c>
      <c r="J65" s="75">
        <v>0</v>
      </c>
      <c r="K65" s="59">
        <f t="shared" si="16"/>
        <v>0</v>
      </c>
    </row>
    <row r="66" spans="1:11" ht="17.399999999999999" thickBot="1" x14ac:dyDescent="0.35">
      <c r="A66" s="3" t="s">
        <v>62</v>
      </c>
      <c r="B66" s="4">
        <v>1555</v>
      </c>
      <c r="C66" s="20">
        <f t="shared" si="13"/>
        <v>0</v>
      </c>
      <c r="D66" s="20">
        <f t="shared" si="14"/>
        <v>0</v>
      </c>
      <c r="F66" s="73">
        <v>0</v>
      </c>
      <c r="G66" s="53">
        <v>0</v>
      </c>
      <c r="H66" s="59">
        <f t="shared" si="15"/>
        <v>0</v>
      </c>
      <c r="I66" s="73">
        <v>0</v>
      </c>
      <c r="J66" s="53">
        <v>0</v>
      </c>
      <c r="K66" s="59">
        <f t="shared" si="16"/>
        <v>0</v>
      </c>
    </row>
    <row r="67" spans="1:11" ht="17.399999999999999" thickBot="1" x14ac:dyDescent="0.35">
      <c r="A67" s="3" t="s">
        <v>63</v>
      </c>
      <c r="B67" s="4">
        <v>1555</v>
      </c>
      <c r="C67" s="20">
        <f t="shared" si="13"/>
        <v>0</v>
      </c>
      <c r="D67" s="20">
        <f t="shared" si="14"/>
        <v>0</v>
      </c>
      <c r="F67" s="73">
        <v>0</v>
      </c>
      <c r="G67" s="53">
        <v>0</v>
      </c>
      <c r="H67" s="59">
        <f t="shared" si="15"/>
        <v>0</v>
      </c>
      <c r="I67" s="73">
        <v>0</v>
      </c>
      <c r="J67" s="53">
        <v>0</v>
      </c>
      <c r="K67" s="59">
        <f t="shared" si="16"/>
        <v>0</v>
      </c>
    </row>
    <row r="68" spans="1:11" ht="17.399999999999999" thickBot="1" x14ac:dyDescent="0.35">
      <c r="A68" s="3" t="s">
        <v>64</v>
      </c>
      <c r="B68" s="4">
        <v>1555</v>
      </c>
      <c r="C68" s="20">
        <f t="shared" si="13"/>
        <v>0</v>
      </c>
      <c r="D68" s="20">
        <f t="shared" si="14"/>
        <v>0</v>
      </c>
      <c r="F68" s="74">
        <v>0</v>
      </c>
      <c r="G68" s="75">
        <v>0</v>
      </c>
      <c r="H68" s="59">
        <f t="shared" si="15"/>
        <v>0</v>
      </c>
      <c r="I68" s="74">
        <v>0</v>
      </c>
      <c r="J68" s="75">
        <v>0</v>
      </c>
      <c r="K68" s="59">
        <f t="shared" si="16"/>
        <v>0</v>
      </c>
    </row>
    <row r="69" spans="1:11" ht="17.399999999999999" thickBot="1" x14ac:dyDescent="0.35">
      <c r="A69" s="3" t="s">
        <v>65</v>
      </c>
      <c r="B69" s="4">
        <v>1556</v>
      </c>
      <c r="C69" s="20">
        <f t="shared" si="13"/>
        <v>0</v>
      </c>
      <c r="D69" s="20">
        <f t="shared" si="14"/>
        <v>0</v>
      </c>
      <c r="F69" s="74">
        <v>0</v>
      </c>
      <c r="G69" s="75">
        <v>0</v>
      </c>
      <c r="H69" s="59">
        <f t="shared" si="15"/>
        <v>0</v>
      </c>
      <c r="I69" s="74">
        <v>0</v>
      </c>
      <c r="J69" s="75">
        <v>0</v>
      </c>
      <c r="K69" s="59">
        <f t="shared" si="16"/>
        <v>0</v>
      </c>
    </row>
    <row r="70" spans="1:11" ht="17.399999999999999" thickBot="1" x14ac:dyDescent="0.35">
      <c r="A70" s="3" t="s">
        <v>66</v>
      </c>
      <c r="B70" s="4">
        <v>1557</v>
      </c>
      <c r="C70" s="20">
        <f t="shared" si="13"/>
        <v>0</v>
      </c>
      <c r="D70" s="20">
        <f t="shared" si="14"/>
        <v>0</v>
      </c>
      <c r="F70" s="74">
        <v>0</v>
      </c>
      <c r="G70" s="75">
        <v>0</v>
      </c>
      <c r="H70" s="59">
        <f t="shared" si="15"/>
        <v>0</v>
      </c>
      <c r="I70" s="74">
        <v>0</v>
      </c>
      <c r="J70" s="75">
        <v>0</v>
      </c>
      <c r="K70" s="59">
        <f t="shared" si="16"/>
        <v>0</v>
      </c>
    </row>
    <row r="71" spans="1:11" ht="15" thickBot="1" x14ac:dyDescent="0.35">
      <c r="A71" s="3"/>
      <c r="B71" s="4"/>
      <c r="C71" s="20">
        <f t="shared" si="13"/>
        <v>0</v>
      </c>
      <c r="D71" s="20">
        <f t="shared" si="14"/>
        <v>0</v>
      </c>
      <c r="F71" s="74"/>
      <c r="G71" s="75"/>
      <c r="H71" s="59">
        <f t="shared" si="15"/>
        <v>0</v>
      </c>
      <c r="I71" s="74"/>
      <c r="J71" s="75"/>
      <c r="K71" s="59">
        <f t="shared" si="16"/>
        <v>0</v>
      </c>
    </row>
    <row r="72" spans="1:11" ht="16.8" thickBot="1" x14ac:dyDescent="0.35">
      <c r="A72" s="49" t="s">
        <v>67</v>
      </c>
      <c r="B72" s="50">
        <v>1575</v>
      </c>
      <c r="C72" s="20">
        <f t="shared" si="13"/>
        <v>0</v>
      </c>
      <c r="D72" s="20">
        <f t="shared" si="14"/>
        <v>0</v>
      </c>
      <c r="F72" s="73">
        <v>0</v>
      </c>
      <c r="G72" s="53">
        <v>0</v>
      </c>
      <c r="H72" s="59">
        <f t="shared" si="15"/>
        <v>0</v>
      </c>
      <c r="I72" s="73">
        <v>0</v>
      </c>
      <c r="J72" s="53">
        <v>0</v>
      </c>
      <c r="K72" s="59">
        <f t="shared" si="16"/>
        <v>0</v>
      </c>
    </row>
    <row r="73" spans="1:11" ht="16.8" thickBot="1" x14ac:dyDescent="0.35">
      <c r="A73" s="49" t="s">
        <v>68</v>
      </c>
      <c r="B73" s="50">
        <v>1576</v>
      </c>
      <c r="C73" s="20">
        <f t="shared" si="13"/>
        <v>-393439</v>
      </c>
      <c r="D73" s="20">
        <f t="shared" si="14"/>
        <v>0</v>
      </c>
      <c r="E73" t="s">
        <v>69</v>
      </c>
      <c r="F73" s="76">
        <v>-393439</v>
      </c>
      <c r="G73" s="77">
        <v>0</v>
      </c>
      <c r="H73" s="78">
        <f t="shared" si="15"/>
        <v>-393439</v>
      </c>
      <c r="I73" s="76">
        <v>0</v>
      </c>
      <c r="J73" s="77">
        <v>0</v>
      </c>
      <c r="K73" s="78">
        <f t="shared" si="16"/>
        <v>0</v>
      </c>
    </row>
    <row r="74" spans="1:11" ht="15" thickBot="1" x14ac:dyDescent="0.35">
      <c r="A74" s="51"/>
      <c r="B74" s="52"/>
      <c r="F74" s="54"/>
      <c r="G74" s="54"/>
      <c r="H74" s="30"/>
      <c r="I74" s="54"/>
      <c r="J74" s="54"/>
      <c r="K74" s="30"/>
    </row>
    <row r="76" spans="1:11" x14ac:dyDescent="0.3">
      <c r="A76" s="7" t="s">
        <v>71</v>
      </c>
      <c r="C76" s="30">
        <f>-C25-C58</f>
        <v>541851.31000000006</v>
      </c>
      <c r="D76" s="30">
        <f>-D25-D58</f>
        <v>-494468</v>
      </c>
    </row>
    <row r="77" spans="1:11" x14ac:dyDescent="0.3">
      <c r="C77" s="30"/>
      <c r="D77" s="30"/>
    </row>
  </sheetData>
  <mergeCells count="10">
    <mergeCell ref="A28:A30"/>
    <mergeCell ref="B28:B30"/>
    <mergeCell ref="C28:C30"/>
    <mergeCell ref="D28:D30"/>
    <mergeCell ref="A1:A3"/>
    <mergeCell ref="B1:B3"/>
    <mergeCell ref="C1:C3"/>
    <mergeCell ref="D1:D3"/>
    <mergeCell ref="P1:P3"/>
    <mergeCell ref="Q1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Disposition</vt:lpstr>
      <vt:lpstr>2019 Disposition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Maw</dc:creator>
  <cp:lastModifiedBy>Margaret Maw</cp:lastModifiedBy>
  <dcterms:created xsi:type="dcterms:W3CDTF">2021-02-04T12:08:11Z</dcterms:created>
  <dcterms:modified xsi:type="dcterms:W3CDTF">2021-02-08T23:20:29Z</dcterms:modified>
</cp:coreProperties>
</file>